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rgengiesen 1/Desktop/www.jgiesen.de/moonanalemma/"/>
    </mc:Choice>
  </mc:AlternateContent>
  <xr:revisionPtr revIDLastSave="0" documentId="8_{D9132AC9-BD52-9645-9F7D-9B88E46204F8}" xr6:coauthVersionLast="36" xr6:coauthVersionMax="36" xr10:uidLastSave="{00000000-0000-0000-0000-000000000000}"/>
  <bookViews>
    <workbookView xWindow="5220" yWindow="460" windowWidth="23340" windowHeight="17440" tabRatio="500" xr2:uid="{00000000-000D-0000-FFFF-FFFF00000000}"/>
  </bookViews>
  <sheets>
    <sheet name="input" sheetId="1" r:id="rId1"/>
    <sheet name="calc" sheetId="2" r:id="rId2"/>
    <sheet name="elev  az  illum" sheetId="3" r:id="rId3"/>
    <sheet name="declin  RA" sheetId="4" r:id="rId4"/>
    <sheet name="caldat" sheetId="5" r:id="rId5"/>
    <sheet name="Analemma1" sheetId="6" r:id="rId6"/>
    <sheet name="Analemma2" sheetId="7" r:id="rId7"/>
  </sheets>
  <calcPr calcId="181029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63" i="7" l="1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L3" i="7"/>
  <c r="K3" i="7"/>
  <c r="C3" i="7"/>
  <c r="L2" i="7"/>
  <c r="K2" i="7"/>
  <c r="A2" i="7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M3" i="6"/>
  <c r="L3" i="6"/>
  <c r="G11" i="1" s="1"/>
  <c r="C3" i="6"/>
  <c r="M2" i="6"/>
  <c r="H10" i="1" s="1"/>
  <c r="L2" i="6"/>
  <c r="A2" i="6"/>
  <c r="E2" i="4"/>
  <c r="F1" i="4"/>
  <c r="D1" i="4"/>
  <c r="C1" i="4"/>
  <c r="B1" i="4"/>
  <c r="A1" i="4"/>
  <c r="H74" i="3"/>
  <c r="H73" i="3"/>
  <c r="E2" i="3"/>
  <c r="D2" i="3"/>
  <c r="I1" i="3"/>
  <c r="H1" i="3"/>
  <c r="G1" i="3"/>
  <c r="F1" i="3"/>
  <c r="E1" i="3"/>
  <c r="D1" i="3"/>
  <c r="C1" i="3"/>
  <c r="B1" i="3"/>
  <c r="A1" i="3"/>
  <c r="A9" i="2"/>
  <c r="A7" i="2"/>
  <c r="A5" i="2"/>
  <c r="A2" i="2"/>
  <c r="J11" i="1"/>
  <c r="H11" i="1"/>
  <c r="I10" i="1"/>
  <c r="G10" i="1"/>
  <c r="D10" i="1"/>
  <c r="B10" i="1"/>
  <c r="C3" i="1"/>
  <c r="H2" i="1"/>
  <c r="C2" i="2" s="1"/>
  <c r="C3" i="2" s="1"/>
  <c r="K2" i="2" l="1"/>
  <c r="J2" i="3" s="1"/>
  <c r="F3" i="3"/>
  <c r="D3" i="4"/>
  <c r="C4" i="2"/>
  <c r="F2" i="3"/>
  <c r="D2" i="4"/>
  <c r="C2" i="4"/>
  <c r="C2" i="3"/>
  <c r="B2" i="4"/>
  <c r="B2" i="3"/>
  <c r="C3" i="4"/>
  <c r="C3" i="3"/>
  <c r="A2" i="4"/>
  <c r="A2" i="3"/>
  <c r="K3" i="2" l="1"/>
  <c r="L2" i="2"/>
  <c r="M2" i="2" s="1"/>
  <c r="A2" i="5"/>
  <c r="B2" i="5" s="1"/>
  <c r="D2" i="5" s="1"/>
  <c r="C2" i="5"/>
  <c r="P2" i="2"/>
  <c r="S2" i="2"/>
  <c r="N2" i="2"/>
  <c r="D4" i="4"/>
  <c r="F4" i="3"/>
  <c r="C5" i="2"/>
  <c r="J3" i="3"/>
  <c r="K3" i="3" s="1"/>
  <c r="E3" i="4" s="1"/>
  <c r="A3" i="5"/>
  <c r="B3" i="5" s="1"/>
  <c r="K4" i="2"/>
  <c r="L3" i="2"/>
  <c r="M3" i="2" s="1"/>
  <c r="R2" i="2" l="1"/>
  <c r="Q2" i="2"/>
  <c r="AM2" i="2"/>
  <c r="AN2" i="2"/>
  <c r="C3" i="5"/>
  <c r="D3" i="5"/>
  <c r="U2" i="2"/>
  <c r="V2" i="2" s="1"/>
  <c r="E2" i="5"/>
  <c r="F2" i="5" s="1"/>
  <c r="G2" i="5" s="1"/>
  <c r="A4" i="5"/>
  <c r="B4" i="5" s="1"/>
  <c r="J4" i="3"/>
  <c r="K4" i="3" s="1"/>
  <c r="E4" i="4" s="1"/>
  <c r="K5" i="2"/>
  <c r="L4" i="2"/>
  <c r="M4" i="2" s="1"/>
  <c r="P3" i="2"/>
  <c r="AM3" i="2"/>
  <c r="S3" i="2"/>
  <c r="R3" i="2"/>
  <c r="N3" i="2"/>
  <c r="Q3" i="2"/>
  <c r="F5" i="3"/>
  <c r="D5" i="4"/>
  <c r="C6" i="2"/>
  <c r="AI2" i="2"/>
  <c r="O2" i="2"/>
  <c r="T2" i="2" s="1"/>
  <c r="Y2" i="2" s="1"/>
  <c r="W2" i="2" l="1"/>
  <c r="AN3" i="2"/>
  <c r="AB2" i="2"/>
  <c r="AA2" i="2"/>
  <c r="Z2" i="2"/>
  <c r="H2" i="5"/>
  <c r="I2" i="5" s="1"/>
  <c r="J2" i="5"/>
  <c r="M2" i="5" s="1"/>
  <c r="S2" i="5" s="1"/>
  <c r="AO2" i="2"/>
  <c r="AP2" i="2" s="1"/>
  <c r="I2" i="2" s="1"/>
  <c r="X2" i="2"/>
  <c r="O3" i="2"/>
  <c r="W3" i="2" s="1"/>
  <c r="AI3" i="2"/>
  <c r="E3" i="5"/>
  <c r="F3" i="5" s="1"/>
  <c r="G3" i="5" s="1"/>
  <c r="F6" i="3"/>
  <c r="D6" i="4"/>
  <c r="C7" i="2"/>
  <c r="U3" i="2"/>
  <c r="V3" i="2" s="1"/>
  <c r="A5" i="5"/>
  <c r="B5" i="5" s="1"/>
  <c r="J5" i="3"/>
  <c r="K5" i="3" s="1"/>
  <c r="E5" i="4" s="1"/>
  <c r="K6" i="2"/>
  <c r="L5" i="2"/>
  <c r="AM4" i="2"/>
  <c r="S4" i="2"/>
  <c r="R4" i="2"/>
  <c r="N4" i="2"/>
  <c r="Q4" i="2"/>
  <c r="P4" i="2"/>
  <c r="C4" i="5"/>
  <c r="D4" i="5"/>
  <c r="K2" i="5" l="1"/>
  <c r="X3" i="2"/>
  <c r="N2" i="5"/>
  <c r="L2" i="5"/>
  <c r="H3" i="5"/>
  <c r="I3" i="5" s="1"/>
  <c r="J3" i="5"/>
  <c r="M3" i="5" s="1"/>
  <c r="S3" i="5" s="1"/>
  <c r="C5" i="5"/>
  <c r="D5" i="5"/>
  <c r="F3" i="7"/>
  <c r="F3" i="6"/>
  <c r="G3" i="6" s="1"/>
  <c r="I2" i="3"/>
  <c r="M2" i="3" s="1"/>
  <c r="AI4" i="2"/>
  <c r="O4" i="2"/>
  <c r="T4" i="2" s="1"/>
  <c r="AC2" i="2"/>
  <c r="AD2" i="2"/>
  <c r="Q5" i="2"/>
  <c r="P5" i="2"/>
  <c r="AM5" i="2"/>
  <c r="S5" i="2"/>
  <c r="R5" i="2"/>
  <c r="N5" i="2"/>
  <c r="A6" i="5"/>
  <c r="B6" i="5" s="1"/>
  <c r="J6" i="3"/>
  <c r="K6" i="3" s="1"/>
  <c r="E6" i="4" s="1"/>
  <c r="L6" i="2"/>
  <c r="M6" i="2" s="1"/>
  <c r="K7" i="2"/>
  <c r="U4" i="2"/>
  <c r="V4" i="2" s="1"/>
  <c r="M5" i="2"/>
  <c r="T3" i="2"/>
  <c r="Y3" i="2" s="1"/>
  <c r="E4" i="5"/>
  <c r="F4" i="5" s="1"/>
  <c r="G4" i="5" s="1"/>
  <c r="AN4" i="2"/>
  <c r="D7" i="4"/>
  <c r="F7" i="3"/>
  <c r="C8" i="2"/>
  <c r="Y4" i="2" l="1"/>
  <c r="AB4" i="2" s="1"/>
  <c r="H4" i="5"/>
  <c r="I4" i="5" s="1"/>
  <c r="J4" i="5" s="1"/>
  <c r="AB3" i="2"/>
  <c r="AA3" i="2"/>
  <c r="Z3" i="2"/>
  <c r="C6" i="5"/>
  <c r="D6" i="5"/>
  <c r="AI5" i="2"/>
  <c r="O5" i="2"/>
  <c r="T5" i="2" s="1"/>
  <c r="W4" i="2"/>
  <c r="O2" i="5"/>
  <c r="Q2" i="5"/>
  <c r="P2" i="5"/>
  <c r="R2" i="5" s="1"/>
  <c r="A7" i="5"/>
  <c r="B7" i="5" s="1"/>
  <c r="J7" i="3"/>
  <c r="K7" i="3" s="1"/>
  <c r="E7" i="4" s="1"/>
  <c r="K8" i="2"/>
  <c r="L7" i="2"/>
  <c r="U5" i="2"/>
  <c r="V5" i="2" s="1"/>
  <c r="AE2" i="2"/>
  <c r="AF2" i="2" s="1"/>
  <c r="AO3" i="2"/>
  <c r="AP3" i="2" s="1"/>
  <c r="I3" i="2" s="1"/>
  <c r="D8" i="4"/>
  <c r="F8" i="3"/>
  <c r="C9" i="2"/>
  <c r="P6" i="2"/>
  <c r="AM6" i="2"/>
  <c r="S6" i="2"/>
  <c r="R6" i="2"/>
  <c r="N6" i="2"/>
  <c r="Q6" i="2"/>
  <c r="AN5" i="2"/>
  <c r="AG2" i="2"/>
  <c r="E5" i="5"/>
  <c r="F5" i="5" s="1"/>
  <c r="G5" i="5" s="1"/>
  <c r="K3" i="5"/>
  <c r="Y5" i="2" l="1"/>
  <c r="T2" i="5"/>
  <c r="D2" i="2" s="1"/>
  <c r="F2" i="4"/>
  <c r="M4" i="5"/>
  <c r="S4" i="5" s="1"/>
  <c r="K4" i="5"/>
  <c r="AB5" i="2"/>
  <c r="G2" i="4"/>
  <c r="H2" i="4" s="1"/>
  <c r="AH2" i="2"/>
  <c r="AJ2" i="2" s="1"/>
  <c r="U6" i="2"/>
  <c r="V6" i="2" s="1"/>
  <c r="R7" i="2"/>
  <c r="N7" i="2"/>
  <c r="Q7" i="2"/>
  <c r="P7" i="2"/>
  <c r="AM7" i="2"/>
  <c r="S7" i="2"/>
  <c r="C7" i="5"/>
  <c r="D7" i="5"/>
  <c r="AN6" i="2"/>
  <c r="J8" i="3"/>
  <c r="K8" i="3" s="1"/>
  <c r="E8" i="4" s="1"/>
  <c r="A8" i="5"/>
  <c r="B8" i="5" s="1"/>
  <c r="K9" i="2"/>
  <c r="L8" i="2"/>
  <c r="I2" i="4"/>
  <c r="L2" i="3"/>
  <c r="AD3" i="2"/>
  <c r="AC3" i="2"/>
  <c r="N3" i="5"/>
  <c r="L3" i="5"/>
  <c r="W5" i="2"/>
  <c r="AI6" i="2"/>
  <c r="O6" i="2"/>
  <c r="T6" i="2" s="1"/>
  <c r="Y6" i="2" s="1"/>
  <c r="M7" i="2"/>
  <c r="AO4" i="2"/>
  <c r="AP4" i="2" s="1"/>
  <c r="I4" i="2" s="1"/>
  <c r="X4" i="2"/>
  <c r="E6" i="5"/>
  <c r="F6" i="5" s="1"/>
  <c r="G6" i="5" s="1"/>
  <c r="Z4" i="2"/>
  <c r="H5" i="5"/>
  <c r="I5" i="5" s="1"/>
  <c r="F9" i="3"/>
  <c r="D9" i="4"/>
  <c r="C10" i="2"/>
  <c r="F4" i="7"/>
  <c r="F4" i="6"/>
  <c r="G4" i="6" s="1"/>
  <c r="I3" i="3"/>
  <c r="M3" i="3" s="1"/>
  <c r="AA4" i="2"/>
  <c r="AN7" i="2" l="1"/>
  <c r="H6" i="5"/>
  <c r="I6" i="5" s="1"/>
  <c r="J6" i="5"/>
  <c r="M6" i="5" s="1"/>
  <c r="S6" i="5" s="1"/>
  <c r="AB6" i="2"/>
  <c r="F5" i="7"/>
  <c r="F5" i="6"/>
  <c r="G5" i="6" s="1"/>
  <c r="I4" i="3"/>
  <c r="M4" i="3" s="1"/>
  <c r="W6" i="2"/>
  <c r="C8" i="5"/>
  <c r="D8" i="5"/>
  <c r="E7" i="5"/>
  <c r="F7" i="5" s="1"/>
  <c r="G7" i="5" s="1"/>
  <c r="N4" i="5"/>
  <c r="L4" i="5"/>
  <c r="AI7" i="2"/>
  <c r="O7" i="2"/>
  <c r="W7" i="2" s="1"/>
  <c r="AE3" i="2"/>
  <c r="AF3" i="2" s="1"/>
  <c r="Q8" i="2"/>
  <c r="P8" i="2"/>
  <c r="AM8" i="2"/>
  <c r="S8" i="2"/>
  <c r="R8" i="2"/>
  <c r="N8" i="2"/>
  <c r="M8" i="2"/>
  <c r="AK2" i="2"/>
  <c r="AL2" i="2" s="1"/>
  <c r="G2" i="2" s="1"/>
  <c r="H2" i="2" s="1"/>
  <c r="AO5" i="2"/>
  <c r="AP5" i="2" s="1"/>
  <c r="I5" i="2" s="1"/>
  <c r="X5" i="2"/>
  <c r="Z5" i="2"/>
  <c r="AC4" i="2"/>
  <c r="AD4" i="2"/>
  <c r="D10" i="4"/>
  <c r="F10" i="3"/>
  <c r="C11" i="2"/>
  <c r="J5" i="5"/>
  <c r="M5" i="5" s="1"/>
  <c r="S5" i="5" s="1"/>
  <c r="AA5" i="2"/>
  <c r="O3" i="5"/>
  <c r="Q3" i="5"/>
  <c r="P3" i="5"/>
  <c r="R3" i="5" s="1"/>
  <c r="A3" i="7"/>
  <c r="A3" i="6"/>
  <c r="A9" i="5"/>
  <c r="B9" i="5" s="1"/>
  <c r="J9" i="3"/>
  <c r="K9" i="3" s="1"/>
  <c r="E9" i="4" s="1"/>
  <c r="K10" i="2"/>
  <c r="L9" i="2"/>
  <c r="U7" i="2"/>
  <c r="V7" i="2" s="1"/>
  <c r="AQ2" i="2"/>
  <c r="AR2" i="2"/>
  <c r="AS2" i="2" l="1"/>
  <c r="J2" i="2" s="1"/>
  <c r="T3" i="5"/>
  <c r="I3" i="4" s="1"/>
  <c r="K6" i="5"/>
  <c r="D3" i="7"/>
  <c r="D3" i="6"/>
  <c r="G2" i="3"/>
  <c r="F3" i="4"/>
  <c r="L3" i="3"/>
  <c r="H7" i="5"/>
  <c r="I7" i="5" s="1"/>
  <c r="J7" i="5" s="1"/>
  <c r="M7" i="5" s="1"/>
  <c r="S7" i="5" s="1"/>
  <c r="E3" i="7"/>
  <c r="E3" i="6"/>
  <c r="H2" i="3"/>
  <c r="X7" i="2"/>
  <c r="L6" i="5"/>
  <c r="N6" i="5"/>
  <c r="AM9" i="2"/>
  <c r="S9" i="2"/>
  <c r="N9" i="2"/>
  <c r="R9" i="2"/>
  <c r="Q9" i="2"/>
  <c r="P9" i="2"/>
  <c r="AG3" i="2"/>
  <c r="M9" i="2"/>
  <c r="X6" i="2"/>
  <c r="AO6" i="2"/>
  <c r="AP6" i="2" s="1"/>
  <c r="I6" i="2" s="1"/>
  <c r="K5" i="5"/>
  <c r="AE4" i="2"/>
  <c r="AG4" i="2" s="1"/>
  <c r="U8" i="2"/>
  <c r="V8" i="2" s="1"/>
  <c r="T7" i="2"/>
  <c r="Y7" i="2" s="1"/>
  <c r="A10" i="5"/>
  <c r="B10" i="5" s="1"/>
  <c r="J10" i="3"/>
  <c r="K10" i="3" s="1"/>
  <c r="E10" i="4" s="1"/>
  <c r="L10" i="2"/>
  <c r="M10" i="2" s="1"/>
  <c r="K11" i="2"/>
  <c r="AC5" i="2"/>
  <c r="AD5" i="2"/>
  <c r="AN8" i="2"/>
  <c r="Z6" i="2"/>
  <c r="C9" i="5"/>
  <c r="D9" i="5"/>
  <c r="F6" i="7"/>
  <c r="F6" i="6"/>
  <c r="G6" i="6" s="1"/>
  <c r="I5" i="3"/>
  <c r="M5" i="3" s="1"/>
  <c r="G3" i="7"/>
  <c r="H3" i="6"/>
  <c r="B11" i="1" s="1"/>
  <c r="F11" i="3"/>
  <c r="D11" i="4"/>
  <c r="C12" i="2"/>
  <c r="AI8" i="2"/>
  <c r="O8" i="2"/>
  <c r="T8" i="2" s="1"/>
  <c r="Y8" i="2" s="1"/>
  <c r="O4" i="5"/>
  <c r="P4" i="5"/>
  <c r="R4" i="5" s="1"/>
  <c r="Q4" i="5"/>
  <c r="E8" i="5"/>
  <c r="F8" i="5" s="1"/>
  <c r="G8" i="5" s="1"/>
  <c r="AA6" i="2"/>
  <c r="W8" i="2" l="1"/>
  <c r="D3" i="2"/>
  <c r="G4" i="4"/>
  <c r="H4" i="4" s="1"/>
  <c r="AH4" i="2"/>
  <c r="H8" i="5"/>
  <c r="I8" i="5" s="1"/>
  <c r="AB8" i="2"/>
  <c r="AA8" i="2"/>
  <c r="Z8" i="2"/>
  <c r="Z7" i="2"/>
  <c r="AB7" i="2"/>
  <c r="AA7" i="2"/>
  <c r="AI9" i="2"/>
  <c r="O9" i="2"/>
  <c r="T9" i="2" s="1"/>
  <c r="U9" i="2"/>
  <c r="V9" i="2" s="1"/>
  <c r="T4" i="5"/>
  <c r="D12" i="4"/>
  <c r="F12" i="3"/>
  <c r="C13" i="2"/>
  <c r="AE5" i="2"/>
  <c r="AF5" i="2" s="1"/>
  <c r="AF4" i="2"/>
  <c r="L5" i="5"/>
  <c r="N5" i="5"/>
  <c r="G3" i="4"/>
  <c r="H3" i="4" s="1"/>
  <c r="K3" i="4" s="1"/>
  <c r="AH3" i="2"/>
  <c r="AN9" i="2"/>
  <c r="AO7" i="2"/>
  <c r="AP7" i="2" s="1"/>
  <c r="I7" i="2" s="1"/>
  <c r="K7" i="5"/>
  <c r="AO8" i="2"/>
  <c r="AP8" i="2" s="1"/>
  <c r="I8" i="2" s="1"/>
  <c r="X8" i="2"/>
  <c r="R10" i="2"/>
  <c r="N10" i="2"/>
  <c r="S10" i="2"/>
  <c r="AM10" i="2"/>
  <c r="Q10" i="2"/>
  <c r="P10" i="2"/>
  <c r="E9" i="5"/>
  <c r="F9" i="5" s="1"/>
  <c r="G9" i="5" s="1"/>
  <c r="F7" i="7"/>
  <c r="F7" i="6"/>
  <c r="G7" i="6" s="1"/>
  <c r="I6" i="3"/>
  <c r="M6" i="3" s="1"/>
  <c r="O6" i="5"/>
  <c r="Q6" i="5"/>
  <c r="P6" i="5"/>
  <c r="R6" i="5" s="1"/>
  <c r="AD6" i="2"/>
  <c r="AC6" i="2"/>
  <c r="A11" i="5"/>
  <c r="B11" i="5" s="1"/>
  <c r="J11" i="3"/>
  <c r="K11" i="3" s="1"/>
  <c r="E11" i="4" s="1"/>
  <c r="K12" i="2"/>
  <c r="L11" i="2"/>
  <c r="M11" i="2" s="1"/>
  <c r="C10" i="5"/>
  <c r="D10" i="5"/>
  <c r="A4" i="7"/>
  <c r="A4" i="6"/>
  <c r="Y9" i="2" l="1"/>
  <c r="T6" i="5"/>
  <c r="D6" i="2" s="1"/>
  <c r="AB9" i="2"/>
  <c r="H9" i="5"/>
  <c r="I9" i="5" s="1"/>
  <c r="F5" i="4"/>
  <c r="L6" i="3"/>
  <c r="C11" i="5"/>
  <c r="D11" i="5"/>
  <c r="AI10" i="2"/>
  <c r="O10" i="2"/>
  <c r="W10" i="2" s="1"/>
  <c r="N7" i="5"/>
  <c r="L7" i="5"/>
  <c r="J12" i="3"/>
  <c r="K12" i="3" s="1"/>
  <c r="E12" i="4" s="1"/>
  <c r="A12" i="5"/>
  <c r="B12" i="5" s="1"/>
  <c r="K13" i="2"/>
  <c r="L12" i="2"/>
  <c r="M12" i="2"/>
  <c r="I4" i="4"/>
  <c r="L4" i="3"/>
  <c r="D4" i="2"/>
  <c r="AR4" i="2"/>
  <c r="AQ4" i="2"/>
  <c r="AS4" i="2" s="1"/>
  <c r="J4" i="2" s="1"/>
  <c r="W9" i="2"/>
  <c r="AG5" i="2"/>
  <c r="F8" i="7"/>
  <c r="F8" i="6"/>
  <c r="G8" i="6" s="1"/>
  <c r="I7" i="3"/>
  <c r="M7" i="3" s="1"/>
  <c r="O5" i="5"/>
  <c r="Q5" i="5"/>
  <c r="P5" i="5"/>
  <c r="R5" i="5" s="1"/>
  <c r="AN10" i="2"/>
  <c r="D13" i="4"/>
  <c r="F13" i="3"/>
  <c r="C14" i="2"/>
  <c r="J8" i="5"/>
  <c r="M8" i="5" s="1"/>
  <c r="S8" i="5" s="1"/>
  <c r="K4" i="4"/>
  <c r="Q11" i="2"/>
  <c r="S11" i="2"/>
  <c r="N11" i="2"/>
  <c r="AM11" i="2"/>
  <c r="R11" i="2"/>
  <c r="P11" i="2"/>
  <c r="E10" i="5"/>
  <c r="F10" i="5" s="1"/>
  <c r="G10" i="5" s="1"/>
  <c r="AE6" i="2"/>
  <c r="AG6" i="2" s="1"/>
  <c r="U10" i="2"/>
  <c r="V10" i="2" s="1"/>
  <c r="T10" i="2"/>
  <c r="F9" i="7"/>
  <c r="F9" i="6"/>
  <c r="G9" i="6" s="1"/>
  <c r="I8" i="3"/>
  <c r="M8" i="3" s="1"/>
  <c r="AQ3" i="2"/>
  <c r="AR3" i="2"/>
  <c r="AJ3" i="2"/>
  <c r="F4" i="4"/>
  <c r="AJ4" i="2"/>
  <c r="AD7" i="2"/>
  <c r="AC7" i="2"/>
  <c r="AC8" i="2"/>
  <c r="AD8" i="2"/>
  <c r="K8" i="5" l="1"/>
  <c r="AF6" i="2"/>
  <c r="T5" i="5"/>
  <c r="D5" i="2" s="1"/>
  <c r="AN11" i="2"/>
  <c r="I6" i="4"/>
  <c r="AS3" i="2"/>
  <c r="J3" i="2" s="1"/>
  <c r="H3" i="3" s="1"/>
  <c r="I5" i="4"/>
  <c r="G6" i="4"/>
  <c r="H6" i="4" s="1"/>
  <c r="AH6" i="2"/>
  <c r="AK3" i="2"/>
  <c r="AL3" i="2" s="1"/>
  <c r="G3" i="2" s="1"/>
  <c r="H3" i="2" s="1"/>
  <c r="H10" i="5"/>
  <c r="I10" i="5" s="1"/>
  <c r="J10" i="5" s="1"/>
  <c r="M10" i="5" s="1"/>
  <c r="S10" i="5" s="1"/>
  <c r="U11" i="2"/>
  <c r="V11" i="2" s="1"/>
  <c r="G5" i="4"/>
  <c r="H5" i="4" s="1"/>
  <c r="K5" i="4" s="1"/>
  <c r="AH5" i="2"/>
  <c r="E5" i="7"/>
  <c r="E5" i="6"/>
  <c r="H4" i="3"/>
  <c r="A7" i="7"/>
  <c r="A7" i="6"/>
  <c r="N8" i="5"/>
  <c r="L8" i="5"/>
  <c r="AE7" i="2"/>
  <c r="AF7" i="2" s="1"/>
  <c r="X10" i="2"/>
  <c r="AO9" i="2"/>
  <c r="AP9" i="2" s="1"/>
  <c r="I9" i="2" s="1"/>
  <c r="X9" i="2"/>
  <c r="P12" i="2"/>
  <c r="Q12" i="2"/>
  <c r="S12" i="2"/>
  <c r="N12" i="2"/>
  <c r="AM12" i="2"/>
  <c r="R12" i="2"/>
  <c r="J9" i="5"/>
  <c r="M9" i="5" s="1"/>
  <c r="S9" i="5" s="1"/>
  <c r="Z9" i="2"/>
  <c r="AG7" i="2"/>
  <c r="AK4" i="2"/>
  <c r="AL4" i="2" s="1"/>
  <c r="G4" i="2" s="1"/>
  <c r="H4" i="2" s="1"/>
  <c r="A5" i="7"/>
  <c r="A5" i="6"/>
  <c r="A13" i="5"/>
  <c r="B13" i="5" s="1"/>
  <c r="J13" i="3"/>
  <c r="K13" i="3" s="1"/>
  <c r="E13" i="4" s="1"/>
  <c r="M13" i="2"/>
  <c r="L13" i="2"/>
  <c r="K14" i="2"/>
  <c r="O7" i="5"/>
  <c r="Q7" i="5"/>
  <c r="P7" i="5"/>
  <c r="R7" i="5" s="1"/>
  <c r="E11" i="5"/>
  <c r="F11" i="5" s="1"/>
  <c r="G11" i="5" s="1"/>
  <c r="O11" i="2"/>
  <c r="W11" i="2" s="1"/>
  <c r="AI11" i="2"/>
  <c r="F14" i="3"/>
  <c r="C15" i="2"/>
  <c r="D14" i="4"/>
  <c r="AF8" i="2"/>
  <c r="AE8" i="2"/>
  <c r="F6" i="4"/>
  <c r="AJ6" i="2"/>
  <c r="AG8" i="2"/>
  <c r="Y10" i="2"/>
  <c r="AO10" i="2" s="1"/>
  <c r="AP10" i="2" s="1"/>
  <c r="I10" i="2" s="1"/>
  <c r="C12" i="5"/>
  <c r="D12" i="5"/>
  <c r="AA9" i="2"/>
  <c r="L5" i="3" l="1"/>
  <c r="E4" i="6"/>
  <c r="E4" i="7"/>
  <c r="T7" i="5"/>
  <c r="L7" i="3" s="1"/>
  <c r="X11" i="2"/>
  <c r="D5" i="7"/>
  <c r="D5" i="6"/>
  <c r="G4" i="3"/>
  <c r="H11" i="5"/>
  <c r="I11" i="5" s="1"/>
  <c r="J11" i="5" s="1"/>
  <c r="M11" i="5" s="1"/>
  <c r="S11" i="5" s="1"/>
  <c r="F7" i="4"/>
  <c r="F11" i="7"/>
  <c r="F11" i="6"/>
  <c r="G11" i="6" s="1"/>
  <c r="I10" i="3"/>
  <c r="M10" i="3" s="1"/>
  <c r="F15" i="3"/>
  <c r="D15" i="4"/>
  <c r="C16" i="2"/>
  <c r="A6" i="7"/>
  <c r="A6" i="6"/>
  <c r="E12" i="5"/>
  <c r="F12" i="5" s="1"/>
  <c r="G12" i="5" s="1"/>
  <c r="A14" i="5"/>
  <c r="B14" i="5" s="1"/>
  <c r="J14" i="3"/>
  <c r="K14" i="3" s="1"/>
  <c r="E14" i="4" s="1"/>
  <c r="K15" i="2"/>
  <c r="L14" i="2"/>
  <c r="M14" i="2" s="1"/>
  <c r="C13" i="5"/>
  <c r="D13" i="5"/>
  <c r="AN12" i="2"/>
  <c r="O12" i="2"/>
  <c r="T12" i="2" s="1"/>
  <c r="AI12" i="2"/>
  <c r="O8" i="5"/>
  <c r="P8" i="5"/>
  <c r="R8" i="5" s="1"/>
  <c r="Q8" i="5"/>
  <c r="T11" i="2"/>
  <c r="Y11" i="2" s="1"/>
  <c r="K10" i="5"/>
  <c r="AQ6" i="2"/>
  <c r="AR6" i="2"/>
  <c r="AD9" i="2"/>
  <c r="AC9" i="2"/>
  <c r="G8" i="4"/>
  <c r="H8" i="4" s="1"/>
  <c r="AH8" i="2"/>
  <c r="F8" i="4"/>
  <c r="AM13" i="2"/>
  <c r="S13" i="2"/>
  <c r="R13" i="2"/>
  <c r="Q13" i="2"/>
  <c r="P13" i="2"/>
  <c r="N13" i="2"/>
  <c r="G7" i="4"/>
  <c r="H7" i="4" s="1"/>
  <c r="K7" i="4" s="1"/>
  <c r="AH7" i="2"/>
  <c r="AJ7" i="2" s="1"/>
  <c r="K6" i="4"/>
  <c r="K9" i="5"/>
  <c r="Z10" i="2"/>
  <c r="AB10" i="2"/>
  <c r="AA10" i="2"/>
  <c r="AK6" i="2"/>
  <c r="AL6" i="2" s="1"/>
  <c r="G6" i="2" s="1"/>
  <c r="H6" i="2" s="1"/>
  <c r="U12" i="2"/>
  <c r="V12" i="2" s="1"/>
  <c r="F10" i="7"/>
  <c r="F10" i="6"/>
  <c r="G10" i="6" s="1"/>
  <c r="I9" i="3"/>
  <c r="M9" i="3" s="1"/>
  <c r="AQ5" i="2"/>
  <c r="AR5" i="2"/>
  <c r="AJ5" i="2"/>
  <c r="D4" i="7"/>
  <c r="D4" i="6"/>
  <c r="G3" i="3"/>
  <c r="D7" i="2" l="1"/>
  <c r="I7" i="4"/>
  <c r="T8" i="5"/>
  <c r="L8" i="3" s="1"/>
  <c r="Y12" i="2"/>
  <c r="AB12" i="2" s="1"/>
  <c r="AS6" i="2"/>
  <c r="J6" i="2" s="1"/>
  <c r="E7" i="7" s="1"/>
  <c r="K11" i="5"/>
  <c r="L11" i="5" s="1"/>
  <c r="I8" i="4"/>
  <c r="D7" i="6"/>
  <c r="D7" i="7"/>
  <c r="G6" i="3"/>
  <c r="N11" i="5"/>
  <c r="C14" i="5"/>
  <c r="D14" i="5"/>
  <c r="AQ7" i="2"/>
  <c r="AR7" i="2"/>
  <c r="U13" i="2"/>
  <c r="V13" i="2" s="1"/>
  <c r="AR8" i="2"/>
  <c r="AQ8" i="2"/>
  <c r="AK7" i="2"/>
  <c r="AL7" i="2" s="1"/>
  <c r="G7" i="2" s="1"/>
  <c r="H7" i="2" s="1"/>
  <c r="L9" i="5"/>
  <c r="N9" i="5"/>
  <c r="AI13" i="2"/>
  <c r="O13" i="2"/>
  <c r="W13" i="2" s="1"/>
  <c r="AN13" i="2"/>
  <c r="K8" i="4"/>
  <c r="L10" i="5"/>
  <c r="N10" i="5"/>
  <c r="A15" i="5"/>
  <c r="B15" i="5" s="1"/>
  <c r="J15" i="3"/>
  <c r="K15" i="3" s="1"/>
  <c r="E15" i="4" s="1"/>
  <c r="L15" i="2"/>
  <c r="M15" i="2" s="1"/>
  <c r="K16" i="2"/>
  <c r="H12" i="5"/>
  <c r="I12" i="5" s="1"/>
  <c r="D16" i="4"/>
  <c r="F16" i="3"/>
  <c r="C17" i="2"/>
  <c r="A8" i="7"/>
  <c r="A8" i="6"/>
  <c r="W12" i="2"/>
  <c r="AE9" i="2"/>
  <c r="AF9" i="2" s="1"/>
  <c r="R14" i="2"/>
  <c r="N14" i="2"/>
  <c r="AM14" i="2"/>
  <c r="S14" i="2"/>
  <c r="Q14" i="2"/>
  <c r="P14" i="2"/>
  <c r="AS5" i="2"/>
  <c r="J5" i="2" s="1"/>
  <c r="AK5" i="2"/>
  <c r="AL5" i="2" s="1"/>
  <c r="G5" i="2" s="1"/>
  <c r="H5" i="2" s="1"/>
  <c r="AD10" i="2"/>
  <c r="AC10" i="2"/>
  <c r="AJ8" i="2"/>
  <c r="AG9" i="2"/>
  <c r="Z11" i="2"/>
  <c r="AB11" i="2"/>
  <c r="AA11" i="2"/>
  <c r="E13" i="5"/>
  <c r="F13" i="5" s="1"/>
  <c r="G13" i="5" s="1"/>
  <c r="AO11" i="2"/>
  <c r="AP11" i="2" s="1"/>
  <c r="I11" i="2" s="1"/>
  <c r="D8" i="2" l="1"/>
  <c r="H6" i="3"/>
  <c r="E7" i="6"/>
  <c r="AS8" i="2"/>
  <c r="J8" i="2" s="1"/>
  <c r="E9" i="7" s="1"/>
  <c r="J12" i="5"/>
  <c r="M12" i="5" s="1"/>
  <c r="S12" i="5" s="1"/>
  <c r="AN14" i="2"/>
  <c r="X13" i="2"/>
  <c r="F9" i="4"/>
  <c r="D6" i="7"/>
  <c r="D6" i="6"/>
  <c r="G5" i="3"/>
  <c r="D8" i="7"/>
  <c r="D8" i="6"/>
  <c r="G7" i="3"/>
  <c r="E14" i="5"/>
  <c r="F14" i="5" s="1"/>
  <c r="G14" i="5" s="1"/>
  <c r="O14" i="2"/>
  <c r="W14" i="2" s="1"/>
  <c r="AI14" i="2"/>
  <c r="X12" i="2"/>
  <c r="AO12" i="2"/>
  <c r="AP12" i="2" s="1"/>
  <c r="I12" i="2" s="1"/>
  <c r="F17" i="3"/>
  <c r="D17" i="4"/>
  <c r="C18" i="2"/>
  <c r="E6" i="7"/>
  <c r="E6" i="6"/>
  <c r="H5" i="3"/>
  <c r="O9" i="5"/>
  <c r="Q9" i="5"/>
  <c r="P9" i="5"/>
  <c r="R9" i="5" s="1"/>
  <c r="T13" i="2"/>
  <c r="Y13" i="2" s="1"/>
  <c r="AS7" i="2"/>
  <c r="J7" i="2" s="1"/>
  <c r="Z12" i="2"/>
  <c r="AK8" i="2"/>
  <c r="AL8" i="2" s="1"/>
  <c r="G8" i="2" s="1"/>
  <c r="H8" i="2" s="1"/>
  <c r="F12" i="7"/>
  <c r="F12" i="6"/>
  <c r="G12" i="6" s="1"/>
  <c r="I11" i="3"/>
  <c r="M11" i="3" s="1"/>
  <c r="AG10" i="2"/>
  <c r="AF10" i="2"/>
  <c r="AE10" i="2"/>
  <c r="U14" i="2"/>
  <c r="V14" i="2" s="1"/>
  <c r="J16" i="3"/>
  <c r="K16" i="3" s="1"/>
  <c r="E16" i="4" s="1"/>
  <c r="K17" i="2"/>
  <c r="L16" i="2"/>
  <c r="A16" i="5"/>
  <c r="B16" i="5" s="1"/>
  <c r="M16" i="2"/>
  <c r="C15" i="5"/>
  <c r="D15" i="5"/>
  <c r="O11" i="5"/>
  <c r="Q11" i="5"/>
  <c r="P11" i="5"/>
  <c r="R11" i="5" s="1"/>
  <c r="AA12" i="2"/>
  <c r="A9" i="7"/>
  <c r="A9" i="6"/>
  <c r="AC11" i="2"/>
  <c r="AD11" i="2"/>
  <c r="H13" i="5"/>
  <c r="I13" i="5" s="1"/>
  <c r="J13" i="5" s="1"/>
  <c r="G9" i="4"/>
  <c r="H9" i="4" s="1"/>
  <c r="K9" i="4" s="1"/>
  <c r="AH9" i="2"/>
  <c r="AJ9" i="2" s="1"/>
  <c r="Q15" i="2"/>
  <c r="P15" i="2"/>
  <c r="S15" i="2"/>
  <c r="AM15" i="2"/>
  <c r="AN15" i="2" s="1"/>
  <c r="R15" i="2"/>
  <c r="N15" i="2"/>
  <c r="O10" i="5"/>
  <c r="Q10" i="5"/>
  <c r="P10" i="5"/>
  <c r="R10" i="5" s="1"/>
  <c r="E9" i="6" l="1"/>
  <c r="T9" i="5"/>
  <c r="T10" i="5"/>
  <c r="L10" i="3" s="1"/>
  <c r="H8" i="3"/>
  <c r="T11" i="5"/>
  <c r="I11" i="4" s="1"/>
  <c r="K12" i="5"/>
  <c r="M13" i="5"/>
  <c r="S13" i="5" s="1"/>
  <c r="K13" i="5"/>
  <c r="X14" i="2"/>
  <c r="D9" i="7"/>
  <c r="D9" i="6"/>
  <c r="G8" i="3"/>
  <c r="H14" i="5"/>
  <c r="I14" i="5" s="1"/>
  <c r="AK9" i="2"/>
  <c r="AL9" i="2" s="1"/>
  <c r="G9" i="2" s="1"/>
  <c r="H9" i="2" s="1"/>
  <c r="L11" i="3"/>
  <c r="F10" i="4"/>
  <c r="E8" i="7"/>
  <c r="E8" i="6"/>
  <c r="H7" i="3"/>
  <c r="I9" i="4"/>
  <c r="L9" i="3"/>
  <c r="D9" i="2"/>
  <c r="G10" i="4"/>
  <c r="H10" i="4" s="1"/>
  <c r="K10" i="4" s="1"/>
  <c r="AH10" i="2"/>
  <c r="F13" i="7"/>
  <c r="F13" i="6"/>
  <c r="G13" i="6" s="1"/>
  <c r="I12" i="3"/>
  <c r="M12" i="3" s="1"/>
  <c r="AQ9" i="2"/>
  <c r="AR9" i="2"/>
  <c r="AA13" i="2"/>
  <c r="AB13" i="2"/>
  <c r="Z13" i="2"/>
  <c r="O15" i="2"/>
  <c r="T15" i="2" s="1"/>
  <c r="AI15" i="2"/>
  <c r="P16" i="2"/>
  <c r="AM16" i="2"/>
  <c r="R16" i="2"/>
  <c r="N16" i="2"/>
  <c r="S16" i="2"/>
  <c r="Q16" i="2"/>
  <c r="T14" i="2"/>
  <c r="Y14" i="2" s="1"/>
  <c r="F18" i="3"/>
  <c r="D18" i="4"/>
  <c r="C19" i="2"/>
  <c r="AO13" i="2"/>
  <c r="AP13" i="2" s="1"/>
  <c r="I13" i="2" s="1"/>
  <c r="U15" i="2"/>
  <c r="V15" i="2" s="1"/>
  <c r="AE11" i="2"/>
  <c r="AF11" i="2" s="1"/>
  <c r="AC12" i="2"/>
  <c r="AD12" i="2"/>
  <c r="C16" i="5"/>
  <c r="D16" i="5"/>
  <c r="E15" i="5"/>
  <c r="F15" i="5" s="1"/>
  <c r="G15" i="5" s="1"/>
  <c r="A17" i="5"/>
  <c r="B17" i="5" s="1"/>
  <c r="J17" i="3"/>
  <c r="K17" i="3" s="1"/>
  <c r="E17" i="4" s="1"/>
  <c r="K18" i="2"/>
  <c r="L17" i="2"/>
  <c r="D10" i="2" l="1"/>
  <c r="Y15" i="2"/>
  <c r="I10" i="4"/>
  <c r="W15" i="2"/>
  <c r="Z15" i="2" s="1"/>
  <c r="D11" i="2"/>
  <c r="N12" i="5"/>
  <c r="L12" i="5"/>
  <c r="J14" i="5"/>
  <c r="M14" i="5" s="1"/>
  <c r="S14" i="5" s="1"/>
  <c r="F11" i="4"/>
  <c r="H15" i="5"/>
  <c r="I15" i="5" s="1"/>
  <c r="AN16" i="2"/>
  <c r="D10" i="7"/>
  <c r="D10" i="6"/>
  <c r="G9" i="3"/>
  <c r="AE12" i="2"/>
  <c r="AF12" i="2" s="1"/>
  <c r="AA15" i="2"/>
  <c r="AB15" i="2"/>
  <c r="F19" i="3"/>
  <c r="D19" i="4"/>
  <c r="C20" i="2"/>
  <c r="Z14" i="2"/>
  <c r="AB14" i="2"/>
  <c r="AA14" i="2"/>
  <c r="U16" i="2"/>
  <c r="V16" i="2" s="1"/>
  <c r="AI16" i="2"/>
  <c r="O16" i="2"/>
  <c r="T16" i="2" s="1"/>
  <c r="AS9" i="2"/>
  <c r="J9" i="2" s="1"/>
  <c r="A10" i="7"/>
  <c r="A10" i="6"/>
  <c r="A18" i="5"/>
  <c r="B18" i="5" s="1"/>
  <c r="J18" i="3"/>
  <c r="K18" i="3" s="1"/>
  <c r="E18" i="4" s="1"/>
  <c r="K19" i="2"/>
  <c r="L18" i="2"/>
  <c r="E16" i="5"/>
  <c r="F16" i="5" s="1"/>
  <c r="G16" i="5" s="1"/>
  <c r="AG11" i="2"/>
  <c r="AM17" i="2"/>
  <c r="S17" i="2"/>
  <c r="N17" i="2"/>
  <c r="P17" i="2"/>
  <c r="R17" i="2"/>
  <c r="Q17" i="2"/>
  <c r="C17" i="5"/>
  <c r="D17" i="5"/>
  <c r="AQ10" i="2"/>
  <c r="AR10" i="2"/>
  <c r="AJ10" i="2"/>
  <c r="A12" i="7"/>
  <c r="A12" i="6"/>
  <c r="AO14" i="2"/>
  <c r="AP14" i="2" s="1"/>
  <c r="I14" i="2" s="1"/>
  <c r="A11" i="7"/>
  <c r="A11" i="6"/>
  <c r="F14" i="7"/>
  <c r="F14" i="6"/>
  <c r="G14" i="6" s="1"/>
  <c r="I13" i="3"/>
  <c r="M13" i="3" s="1"/>
  <c r="AO15" i="2"/>
  <c r="AP15" i="2" s="1"/>
  <c r="I15" i="2" s="1"/>
  <c r="X15" i="2"/>
  <c r="M17" i="2"/>
  <c r="AC13" i="2"/>
  <c r="AD13" i="2"/>
  <c r="L13" i="5"/>
  <c r="N13" i="5"/>
  <c r="AG12" i="2" l="1"/>
  <c r="Y16" i="2"/>
  <c r="AB16" i="2" s="1"/>
  <c r="Q12" i="5"/>
  <c r="O12" i="5"/>
  <c r="T12" i="5" s="1"/>
  <c r="L12" i="3" s="1"/>
  <c r="P12" i="5"/>
  <c r="R12" i="5" s="1"/>
  <c r="J15" i="5"/>
  <c r="M15" i="5" s="1"/>
  <c r="S15" i="5" s="1"/>
  <c r="K14" i="5"/>
  <c r="F12" i="4"/>
  <c r="F15" i="7"/>
  <c r="F15" i="6"/>
  <c r="I14" i="3"/>
  <c r="M14" i="3" s="1"/>
  <c r="H16" i="5"/>
  <c r="I16" i="5" s="1"/>
  <c r="J16" i="5" s="1"/>
  <c r="M16" i="5" s="1"/>
  <c r="S16" i="5" s="1"/>
  <c r="AD14" i="2"/>
  <c r="AC14" i="2"/>
  <c r="AD15" i="2"/>
  <c r="AC15" i="2"/>
  <c r="AS10" i="2"/>
  <c r="J10" i="2" s="1"/>
  <c r="U17" i="2"/>
  <c r="V17" i="2" s="1"/>
  <c r="I12" i="4"/>
  <c r="G12" i="4"/>
  <c r="H12" i="4" s="1"/>
  <c r="AH12" i="2"/>
  <c r="AE13" i="2"/>
  <c r="AF13" i="2" s="1"/>
  <c r="F16" i="7"/>
  <c r="F16" i="6"/>
  <c r="G16" i="6" s="1"/>
  <c r="I15" i="3"/>
  <c r="M15" i="3" s="1"/>
  <c r="F17" i="5"/>
  <c r="G17" i="5" s="1"/>
  <c r="E17" i="5"/>
  <c r="AN17" i="2"/>
  <c r="R18" i="2"/>
  <c r="N18" i="2"/>
  <c r="P18" i="2"/>
  <c r="AM18" i="2"/>
  <c r="Q18" i="2"/>
  <c r="S18" i="2"/>
  <c r="C18" i="5"/>
  <c r="D18" i="5"/>
  <c r="A19" i="5"/>
  <c r="B19" i="5" s="1"/>
  <c r="J19" i="3"/>
  <c r="K19" i="3" s="1"/>
  <c r="E19" i="4" s="1"/>
  <c r="L19" i="2"/>
  <c r="M19" i="2" s="1"/>
  <c r="K20" i="2"/>
  <c r="O13" i="5"/>
  <c r="Q13" i="5"/>
  <c r="P13" i="5"/>
  <c r="R13" i="5" s="1"/>
  <c r="AK10" i="2"/>
  <c r="AL10" i="2" s="1"/>
  <c r="G10" i="2" s="1"/>
  <c r="H10" i="2" s="1"/>
  <c r="W16" i="2"/>
  <c r="AA16" i="2" s="1"/>
  <c r="AI17" i="2"/>
  <c r="O17" i="2"/>
  <c r="T17" i="2" s="1"/>
  <c r="Y17" i="2" s="1"/>
  <c r="G11" i="4"/>
  <c r="H11" i="4" s="1"/>
  <c r="K11" i="4" s="1"/>
  <c r="AH11" i="2"/>
  <c r="M18" i="2"/>
  <c r="E10" i="7"/>
  <c r="E10" i="6"/>
  <c r="H9" i="3"/>
  <c r="D20" i="4"/>
  <c r="F20" i="3"/>
  <c r="C21" i="2"/>
  <c r="AG13" i="2" l="1"/>
  <c r="D12" i="2"/>
  <c r="AN18" i="2"/>
  <c r="T13" i="5"/>
  <c r="D13" i="2" s="1"/>
  <c r="L14" i="5"/>
  <c r="G15" i="6" s="1"/>
  <c r="N14" i="5"/>
  <c r="K15" i="5"/>
  <c r="AB17" i="2"/>
  <c r="AD16" i="2"/>
  <c r="AC16" i="2"/>
  <c r="I13" i="4"/>
  <c r="L13" i="3"/>
  <c r="AQ12" i="2"/>
  <c r="AR12" i="2"/>
  <c r="E11" i="7"/>
  <c r="E11" i="6"/>
  <c r="H10" i="3"/>
  <c r="K16" i="5"/>
  <c r="Z16" i="2"/>
  <c r="G13" i="4"/>
  <c r="H13" i="4" s="1"/>
  <c r="K13" i="4" s="1"/>
  <c r="AH13" i="2"/>
  <c r="AJ13" i="2" s="1"/>
  <c r="O18" i="2"/>
  <c r="W18" i="2" s="1"/>
  <c r="AI18" i="2"/>
  <c r="K12" i="4"/>
  <c r="W17" i="2"/>
  <c r="Z17" i="2" s="1"/>
  <c r="AE14" i="2"/>
  <c r="AG14" i="2" s="1"/>
  <c r="X16" i="2"/>
  <c r="AO16" i="2"/>
  <c r="AP16" i="2" s="1"/>
  <c r="I16" i="2" s="1"/>
  <c r="C19" i="5"/>
  <c r="D19" i="5"/>
  <c r="F13" i="4"/>
  <c r="D11" i="6"/>
  <c r="D11" i="7"/>
  <c r="G10" i="3"/>
  <c r="F21" i="3"/>
  <c r="D21" i="4"/>
  <c r="C22" i="2"/>
  <c r="AQ11" i="2"/>
  <c r="AR11" i="2"/>
  <c r="AJ11" i="2"/>
  <c r="A20" i="5"/>
  <c r="B20" i="5" s="1"/>
  <c r="J20" i="3"/>
  <c r="K20" i="3" s="1"/>
  <c r="E20" i="4" s="1"/>
  <c r="K21" i="2"/>
  <c r="L20" i="2"/>
  <c r="M20" i="2" s="1"/>
  <c r="U18" i="2"/>
  <c r="V18" i="2" s="1"/>
  <c r="H17" i="5"/>
  <c r="I17" i="5" s="1"/>
  <c r="Q19" i="2"/>
  <c r="AM19" i="2"/>
  <c r="R19" i="2"/>
  <c r="S19" i="2"/>
  <c r="P19" i="2"/>
  <c r="N19" i="2"/>
  <c r="E18" i="5"/>
  <c r="F18" i="5" s="1"/>
  <c r="G18" i="5" s="1"/>
  <c r="A13" i="7"/>
  <c r="A13" i="6"/>
  <c r="AE15" i="2"/>
  <c r="AG15" i="2" s="1"/>
  <c r="AJ12" i="2"/>
  <c r="T18" i="2" l="1"/>
  <c r="AF14" i="2"/>
  <c r="L15" i="5"/>
  <c r="N15" i="5"/>
  <c r="AS12" i="2"/>
  <c r="J12" i="2" s="1"/>
  <c r="E13" i="7" s="1"/>
  <c r="P14" i="5"/>
  <c r="R14" i="5" s="1"/>
  <c r="O14" i="5"/>
  <c r="Q14" i="5"/>
  <c r="AF15" i="2"/>
  <c r="Y18" i="2"/>
  <c r="G15" i="4"/>
  <c r="H15" i="4" s="1"/>
  <c r="AH15" i="2"/>
  <c r="G14" i="4"/>
  <c r="H14" i="4" s="1"/>
  <c r="K14" i="4" s="1"/>
  <c r="AH14" i="2"/>
  <c r="AJ14" i="2" s="1"/>
  <c r="F22" i="3"/>
  <c r="D22" i="4"/>
  <c r="C23" i="2"/>
  <c r="F17" i="7"/>
  <c r="F17" i="6"/>
  <c r="G17" i="6" s="1"/>
  <c r="I16" i="3"/>
  <c r="M16" i="3" s="1"/>
  <c r="F14" i="4"/>
  <c r="A14" i="7"/>
  <c r="A14" i="6"/>
  <c r="H18" i="5"/>
  <c r="I18" i="5" s="1"/>
  <c r="AS11" i="2"/>
  <c r="J11" i="2" s="1"/>
  <c r="X18" i="2"/>
  <c r="AO18" i="2"/>
  <c r="AP18" i="2" s="1"/>
  <c r="I18" i="2" s="1"/>
  <c r="AI19" i="2"/>
  <c r="O19" i="2"/>
  <c r="T19" i="2" s="1"/>
  <c r="A21" i="5"/>
  <c r="B21" i="5" s="1"/>
  <c r="J21" i="3"/>
  <c r="K21" i="3" s="1"/>
  <c r="E21" i="4" s="1"/>
  <c r="K22" i="2"/>
  <c r="M21" i="2"/>
  <c r="L21" i="2"/>
  <c r="AK12" i="2"/>
  <c r="AL12" i="2" s="1"/>
  <c r="G12" i="2" s="1"/>
  <c r="H12" i="2" s="1"/>
  <c r="C20" i="5"/>
  <c r="D20" i="5"/>
  <c r="AO17" i="2"/>
  <c r="AP17" i="2" s="1"/>
  <c r="I17" i="2" s="1"/>
  <c r="X17" i="2"/>
  <c r="N16" i="5"/>
  <c r="L16" i="5"/>
  <c r="AA17" i="2"/>
  <c r="Z18" i="2"/>
  <c r="AA18" i="2"/>
  <c r="AB18" i="2"/>
  <c r="U19" i="2"/>
  <c r="V19" i="2" s="1"/>
  <c r="J17" i="5"/>
  <c r="M17" i="5" s="1"/>
  <c r="S17" i="5" s="1"/>
  <c r="AN19" i="2"/>
  <c r="P20" i="2"/>
  <c r="S20" i="2"/>
  <c r="N20" i="2"/>
  <c r="AM20" i="2"/>
  <c r="R20" i="2"/>
  <c r="Q20" i="2"/>
  <c r="AK11" i="2"/>
  <c r="AL11" i="2" s="1"/>
  <c r="G11" i="2" s="1"/>
  <c r="H11" i="2" s="1"/>
  <c r="AK13" i="2"/>
  <c r="AL13" i="2" s="1"/>
  <c r="G13" i="2" s="1"/>
  <c r="H13" i="2" s="1"/>
  <c r="E19" i="5"/>
  <c r="F19" i="5" s="1"/>
  <c r="G19" i="5" s="1"/>
  <c r="AQ13" i="2"/>
  <c r="AR13" i="2"/>
  <c r="AE16" i="2"/>
  <c r="AG16" i="2" s="1"/>
  <c r="AJ15" i="2" l="1"/>
  <c r="AS13" i="2"/>
  <c r="J13" i="2" s="1"/>
  <c r="F15" i="4"/>
  <c r="H12" i="3"/>
  <c r="AN20" i="2"/>
  <c r="Y19" i="2"/>
  <c r="E13" i="6"/>
  <c r="Q15" i="5"/>
  <c r="P15" i="5"/>
  <c r="R15" i="5" s="1"/>
  <c r="O15" i="5"/>
  <c r="W19" i="2"/>
  <c r="Z19" i="2" s="1"/>
  <c r="J18" i="5"/>
  <c r="M18" i="5" s="1"/>
  <c r="S18" i="5" s="1"/>
  <c r="T14" i="5"/>
  <c r="E14" i="7"/>
  <c r="E14" i="6"/>
  <c r="H13" i="3"/>
  <c r="H19" i="5"/>
  <c r="I19" i="5" s="1"/>
  <c r="D13" i="7"/>
  <c r="D13" i="6"/>
  <c r="G12" i="3"/>
  <c r="D14" i="7"/>
  <c r="D14" i="6"/>
  <c r="G13" i="3"/>
  <c r="AB19" i="2"/>
  <c r="G16" i="4"/>
  <c r="H16" i="4" s="1"/>
  <c r="K16" i="4" s="1"/>
  <c r="AH16" i="2"/>
  <c r="D12" i="7"/>
  <c r="D12" i="6"/>
  <c r="G11" i="3"/>
  <c r="F18" i="6"/>
  <c r="G18" i="6" s="1"/>
  <c r="F18" i="7"/>
  <c r="I17" i="3"/>
  <c r="M17" i="3" s="1"/>
  <c r="F19" i="7"/>
  <c r="F19" i="6"/>
  <c r="G19" i="6" s="1"/>
  <c r="I18" i="3"/>
  <c r="M18" i="3" s="1"/>
  <c r="AK14" i="2"/>
  <c r="AL14" i="2" s="1"/>
  <c r="G14" i="2" s="1"/>
  <c r="H14" i="2" s="1"/>
  <c r="AK15" i="2"/>
  <c r="AL15" i="2" s="1"/>
  <c r="G15" i="2" s="1"/>
  <c r="H15" i="2" s="1"/>
  <c r="K17" i="5"/>
  <c r="AO19" i="2"/>
  <c r="AP19" i="2" s="1"/>
  <c r="I19" i="2" s="1"/>
  <c r="X19" i="2"/>
  <c r="AC17" i="2"/>
  <c r="AD17" i="2"/>
  <c r="A22" i="5"/>
  <c r="B22" i="5" s="1"/>
  <c r="J22" i="3"/>
  <c r="K22" i="3" s="1"/>
  <c r="E22" i="4" s="1"/>
  <c r="L22" i="2"/>
  <c r="M22" i="2" s="1"/>
  <c r="K23" i="2"/>
  <c r="AF16" i="2"/>
  <c r="U20" i="2"/>
  <c r="V20" i="2" s="1"/>
  <c r="O20" i="2"/>
  <c r="W20" i="2" s="1"/>
  <c r="AI20" i="2"/>
  <c r="AC18" i="2"/>
  <c r="AD18" i="2"/>
  <c r="E20" i="5"/>
  <c r="F20" i="5" s="1"/>
  <c r="G20" i="5" s="1"/>
  <c r="AM21" i="2"/>
  <c r="S21" i="2"/>
  <c r="R21" i="2"/>
  <c r="N21" i="2"/>
  <c r="Q21" i="2"/>
  <c r="P21" i="2"/>
  <c r="C21" i="5"/>
  <c r="D21" i="5"/>
  <c r="D23" i="4"/>
  <c r="F23" i="3"/>
  <c r="C24" i="2"/>
  <c r="AR15" i="2"/>
  <c r="AQ15" i="2"/>
  <c r="O16" i="5"/>
  <c r="P16" i="5"/>
  <c r="R16" i="5" s="1"/>
  <c r="Q16" i="5"/>
  <c r="E12" i="7"/>
  <c r="E12" i="6"/>
  <c r="H11" i="3"/>
  <c r="AQ14" i="2"/>
  <c r="AR14" i="2"/>
  <c r="K15" i="4"/>
  <c r="T15" i="5" l="1"/>
  <c r="L15" i="3" s="1"/>
  <c r="AA19" i="2"/>
  <c r="AS15" i="2"/>
  <c r="J15" i="2" s="1"/>
  <c r="H15" i="3" s="1"/>
  <c r="J19" i="5"/>
  <c r="M19" i="5" s="1"/>
  <c r="S19" i="5" s="1"/>
  <c r="T20" i="2"/>
  <c r="Y20" i="2" s="1"/>
  <c r="AO20" i="2" s="1"/>
  <c r="AP20" i="2" s="1"/>
  <c r="I20" i="2" s="1"/>
  <c r="I14" i="4"/>
  <c r="L14" i="3"/>
  <c r="D14" i="2"/>
  <c r="T16" i="5"/>
  <c r="I16" i="4" s="1"/>
  <c r="K18" i="5"/>
  <c r="D16" i="7"/>
  <c r="D16" i="6"/>
  <c r="G15" i="3"/>
  <c r="X20" i="2"/>
  <c r="H20" i="5"/>
  <c r="I20" i="5" s="1"/>
  <c r="AB20" i="2"/>
  <c r="Z20" i="2"/>
  <c r="L17" i="5"/>
  <c r="N17" i="5"/>
  <c r="D15" i="6"/>
  <c r="D15" i="7"/>
  <c r="G14" i="3"/>
  <c r="F16" i="4"/>
  <c r="AJ16" i="2"/>
  <c r="AQ16" i="2"/>
  <c r="AR16" i="2"/>
  <c r="AC19" i="2"/>
  <c r="AD19" i="2"/>
  <c r="U21" i="2"/>
  <c r="V21" i="2" s="1"/>
  <c r="A23" i="5"/>
  <c r="B23" i="5" s="1"/>
  <c r="J23" i="3"/>
  <c r="K23" i="3" s="1"/>
  <c r="E23" i="4" s="1"/>
  <c r="K24" i="2"/>
  <c r="L23" i="2"/>
  <c r="M23" i="2" s="1"/>
  <c r="C22" i="5"/>
  <c r="D22" i="5"/>
  <c r="F20" i="6"/>
  <c r="G20" i="6" s="1"/>
  <c r="F20" i="7"/>
  <c r="I19" i="3"/>
  <c r="M19" i="3" s="1"/>
  <c r="AI21" i="2"/>
  <c r="O21" i="2"/>
  <c r="T21" i="2" s="1"/>
  <c r="AS14" i="2"/>
  <c r="J14" i="2" s="1"/>
  <c r="D24" i="4"/>
  <c r="F24" i="3"/>
  <c r="C25" i="2"/>
  <c r="E21" i="5"/>
  <c r="F21" i="5" s="1"/>
  <c r="G21" i="5" s="1"/>
  <c r="AN21" i="2"/>
  <c r="AE18" i="2"/>
  <c r="AF18" i="2" s="1"/>
  <c r="R22" i="2"/>
  <c r="N22" i="2"/>
  <c r="Q22" i="2"/>
  <c r="P22" i="2"/>
  <c r="AM22" i="2"/>
  <c r="S22" i="2"/>
  <c r="AE17" i="2"/>
  <c r="AG17" i="2" s="1"/>
  <c r="E16" i="6" l="1"/>
  <c r="E16" i="7"/>
  <c r="AA20" i="2"/>
  <c r="A16" i="7"/>
  <c r="A16" i="6"/>
  <c r="I15" i="4"/>
  <c r="D15" i="2"/>
  <c r="W21" i="2"/>
  <c r="X21" i="2" s="1"/>
  <c r="D16" i="2"/>
  <c r="L16" i="3"/>
  <c r="A15" i="7"/>
  <c r="A15" i="6"/>
  <c r="AN22" i="2"/>
  <c r="L18" i="5"/>
  <c r="N18" i="5"/>
  <c r="K19" i="5"/>
  <c r="G17" i="4"/>
  <c r="H17" i="4" s="1"/>
  <c r="K17" i="4" s="1"/>
  <c r="AH17" i="2"/>
  <c r="F18" i="4"/>
  <c r="H21" i="5"/>
  <c r="I21" i="5" s="1"/>
  <c r="J24" i="3"/>
  <c r="K24" i="3" s="1"/>
  <c r="E24" i="4" s="1"/>
  <c r="A24" i="5"/>
  <c r="B24" i="5" s="1"/>
  <c r="K25" i="2"/>
  <c r="L24" i="2"/>
  <c r="M24" i="2"/>
  <c r="Y21" i="2"/>
  <c r="AG18" i="2"/>
  <c r="F21" i="7"/>
  <c r="F21" i="6"/>
  <c r="G21" i="6" s="1"/>
  <c r="I20" i="3"/>
  <c r="M20" i="3" s="1"/>
  <c r="E15" i="7"/>
  <c r="E15" i="6"/>
  <c r="H14" i="3"/>
  <c r="AS16" i="2"/>
  <c r="J16" i="2" s="1"/>
  <c r="O17" i="5"/>
  <c r="Q17" i="5"/>
  <c r="P17" i="5"/>
  <c r="R17" i="5" s="1"/>
  <c r="AD20" i="2"/>
  <c r="AC20" i="2"/>
  <c r="O22" i="2"/>
  <c r="T22" i="2" s="1"/>
  <c r="AI22" i="2"/>
  <c r="F25" i="3"/>
  <c r="D25" i="4"/>
  <c r="C26" i="2"/>
  <c r="E22" i="5"/>
  <c r="F22" i="5" s="1"/>
  <c r="G22" i="5" s="1"/>
  <c r="AE19" i="2"/>
  <c r="AF19" i="2" s="1"/>
  <c r="J20" i="5"/>
  <c r="M20" i="5" s="1"/>
  <c r="S20" i="5" s="1"/>
  <c r="A17" i="7"/>
  <c r="A17" i="6"/>
  <c r="AF17" i="2"/>
  <c r="U22" i="2"/>
  <c r="V22" i="2" s="1"/>
  <c r="W22" i="2"/>
  <c r="Q23" i="2"/>
  <c r="P23" i="2"/>
  <c r="AM23" i="2"/>
  <c r="N23" i="2"/>
  <c r="S23" i="2"/>
  <c r="R23" i="2"/>
  <c r="C23" i="5"/>
  <c r="D23" i="5"/>
  <c r="AG19" i="2"/>
  <c r="AK16" i="2"/>
  <c r="AL16" i="2" s="1"/>
  <c r="G16" i="2" s="1"/>
  <c r="H16" i="2" s="1"/>
  <c r="AO21" i="2" l="1"/>
  <c r="AP21" i="2" s="1"/>
  <c r="I21" i="2" s="1"/>
  <c r="T17" i="5"/>
  <c r="O18" i="5"/>
  <c r="Q18" i="5"/>
  <c r="P18" i="5"/>
  <c r="R18" i="5" s="1"/>
  <c r="L19" i="5"/>
  <c r="N19" i="5"/>
  <c r="D17" i="7"/>
  <c r="D17" i="6"/>
  <c r="G16" i="3"/>
  <c r="F19" i="4"/>
  <c r="G18" i="4"/>
  <c r="H18" i="4" s="1"/>
  <c r="K18" i="4" s="1"/>
  <c r="AH18" i="2"/>
  <c r="A25" i="5"/>
  <c r="B25" i="5" s="1"/>
  <c r="J25" i="3"/>
  <c r="K25" i="3" s="1"/>
  <c r="E25" i="4" s="1"/>
  <c r="K26" i="2"/>
  <c r="L25" i="2"/>
  <c r="M25" i="2" s="1"/>
  <c r="F22" i="6"/>
  <c r="G22" i="6" s="1"/>
  <c r="F22" i="7"/>
  <c r="I21" i="3"/>
  <c r="M21" i="3" s="1"/>
  <c r="O23" i="2"/>
  <c r="T23" i="2" s="1"/>
  <c r="AI23" i="2"/>
  <c r="E23" i="5"/>
  <c r="F23" i="5" s="1"/>
  <c r="G23" i="5" s="1"/>
  <c r="U23" i="2"/>
  <c r="V23" i="2" s="1"/>
  <c r="F17" i="4"/>
  <c r="AJ17" i="2"/>
  <c r="AE20" i="2"/>
  <c r="AF20" i="2" s="1"/>
  <c r="E17" i="7"/>
  <c r="E17" i="6"/>
  <c r="H16" i="3"/>
  <c r="AA21" i="2"/>
  <c r="Z21" i="2"/>
  <c r="AB21" i="2"/>
  <c r="C24" i="5"/>
  <c r="D24" i="5"/>
  <c r="I17" i="4"/>
  <c r="L17" i="3"/>
  <c r="D17" i="2"/>
  <c r="H22" i="5"/>
  <c r="I22" i="5" s="1"/>
  <c r="J22" i="5" s="1"/>
  <c r="M22" i="5" s="1"/>
  <c r="S22" i="5" s="1"/>
  <c r="J21" i="5"/>
  <c r="M21" i="5" s="1"/>
  <c r="S21" i="5" s="1"/>
  <c r="AQ17" i="2"/>
  <c r="AR17" i="2"/>
  <c r="W23" i="2"/>
  <c r="X22" i="2"/>
  <c r="G19" i="4"/>
  <c r="H19" i="4" s="1"/>
  <c r="K19" i="4" s="1"/>
  <c r="AH19" i="2"/>
  <c r="AJ19" i="2" s="1"/>
  <c r="AN23" i="2"/>
  <c r="Y22" i="2"/>
  <c r="D26" i="4"/>
  <c r="F26" i="3"/>
  <c r="C27" i="2"/>
  <c r="P24" i="2"/>
  <c r="AM24" i="2"/>
  <c r="AN24" i="2" s="1"/>
  <c r="S24" i="2"/>
  <c r="N24" i="2"/>
  <c r="R24" i="2"/>
  <c r="Q24" i="2"/>
  <c r="K20" i="5"/>
  <c r="K22" i="5" l="1"/>
  <c r="O19" i="5"/>
  <c r="Q19" i="5"/>
  <c r="P19" i="5"/>
  <c r="R19" i="5" s="1"/>
  <c r="T18" i="5"/>
  <c r="H23" i="5"/>
  <c r="I23" i="5" s="1"/>
  <c r="J23" i="5" s="1"/>
  <c r="M23" i="5" s="1"/>
  <c r="S23" i="5" s="1"/>
  <c r="AK19" i="2"/>
  <c r="AL19" i="2" s="1"/>
  <c r="G19" i="2" s="1"/>
  <c r="H19" i="2" s="1"/>
  <c r="F20" i="4"/>
  <c r="AK17" i="2"/>
  <c r="AL17" i="2" s="1"/>
  <c r="G17" i="2" s="1"/>
  <c r="H17" i="2" s="1"/>
  <c r="Z22" i="2"/>
  <c r="AB22" i="2"/>
  <c r="AA22" i="2"/>
  <c r="AS17" i="2"/>
  <c r="J17" i="2" s="1"/>
  <c r="A18" i="7"/>
  <c r="A18" i="6"/>
  <c r="AD21" i="2"/>
  <c r="AC21" i="2"/>
  <c r="AG20" i="2"/>
  <c r="N20" i="5"/>
  <c r="L20" i="5"/>
  <c r="AI24" i="2"/>
  <c r="O24" i="2"/>
  <c r="T24" i="2" s="1"/>
  <c r="F27" i="3"/>
  <c r="D27" i="4"/>
  <c r="C28" i="2"/>
  <c r="AO22" i="2"/>
  <c r="AP22" i="2" s="1"/>
  <c r="I22" i="2" s="1"/>
  <c r="E24" i="5"/>
  <c r="F24" i="5" s="1"/>
  <c r="G24" i="5" s="1"/>
  <c r="Y23" i="2"/>
  <c r="AM25" i="2"/>
  <c r="S25" i="2"/>
  <c r="R25" i="2"/>
  <c r="N25" i="2"/>
  <c r="Q25" i="2"/>
  <c r="P25" i="2"/>
  <c r="C25" i="5"/>
  <c r="D25" i="5"/>
  <c r="U24" i="2"/>
  <c r="V24" i="2" s="1"/>
  <c r="AR19" i="2"/>
  <c r="AQ19" i="2"/>
  <c r="AO23" i="2"/>
  <c r="AP23" i="2" s="1"/>
  <c r="I23" i="2" s="1"/>
  <c r="X23" i="2"/>
  <c r="L22" i="5"/>
  <c r="N22" i="5"/>
  <c r="A26" i="5"/>
  <c r="B26" i="5" s="1"/>
  <c r="J26" i="3"/>
  <c r="K26" i="3" s="1"/>
  <c r="E26" i="4" s="1"/>
  <c r="K27" i="2"/>
  <c r="L26" i="2"/>
  <c r="AQ18" i="2"/>
  <c r="AR18" i="2"/>
  <c r="AJ18" i="2"/>
  <c r="K21" i="5"/>
  <c r="Y24" i="2" l="1"/>
  <c r="I18" i="4"/>
  <c r="L18" i="3"/>
  <c r="D18" i="2"/>
  <c r="K23" i="5"/>
  <c r="L23" i="5" s="1"/>
  <c r="T19" i="5"/>
  <c r="AB24" i="2"/>
  <c r="H24" i="5"/>
  <c r="I24" i="5" s="1"/>
  <c r="J24" i="5" s="1"/>
  <c r="N23" i="5"/>
  <c r="AI25" i="2"/>
  <c r="O25" i="2"/>
  <c r="T25" i="2" s="1"/>
  <c r="U25" i="2"/>
  <c r="V25" i="2" s="1"/>
  <c r="D18" i="7"/>
  <c r="D18" i="6"/>
  <c r="G17" i="3"/>
  <c r="D20" i="7"/>
  <c r="D20" i="6"/>
  <c r="G19" i="3"/>
  <c r="L21" i="5"/>
  <c r="N21" i="5"/>
  <c r="R26" i="2"/>
  <c r="N26" i="2"/>
  <c r="Q26" i="2"/>
  <c r="S26" i="2"/>
  <c r="AM26" i="2"/>
  <c r="P26" i="2"/>
  <c r="E25" i="5"/>
  <c r="F25" i="5" s="1"/>
  <c r="G25" i="5" s="1"/>
  <c r="AN25" i="2"/>
  <c r="F23" i="7"/>
  <c r="F23" i="6"/>
  <c r="G23" i="6" s="1"/>
  <c r="I22" i="3"/>
  <c r="M22" i="3" s="1"/>
  <c r="W24" i="2"/>
  <c r="AA24" i="2" s="1"/>
  <c r="O20" i="5"/>
  <c r="P20" i="5"/>
  <c r="R20" i="5" s="1"/>
  <c r="Q20" i="5"/>
  <c r="A27" i="5"/>
  <c r="B27" i="5" s="1"/>
  <c r="J27" i="3"/>
  <c r="K27" i="3" s="1"/>
  <c r="E27" i="4" s="1"/>
  <c r="K28" i="2"/>
  <c r="L27" i="2"/>
  <c r="O22" i="5"/>
  <c r="Q22" i="5"/>
  <c r="P22" i="5"/>
  <c r="R22" i="5" s="1"/>
  <c r="AB23" i="2"/>
  <c r="AA23" i="2"/>
  <c r="Z23" i="2"/>
  <c r="D28" i="4"/>
  <c r="F28" i="3"/>
  <c r="C29" i="2"/>
  <c r="G20" i="4"/>
  <c r="H20" i="4" s="1"/>
  <c r="K20" i="4" s="1"/>
  <c r="AH20" i="2"/>
  <c r="AE21" i="2"/>
  <c r="AG21" i="2" s="1"/>
  <c r="E18" i="7"/>
  <c r="E18" i="6"/>
  <c r="H17" i="3"/>
  <c r="AK18" i="2"/>
  <c r="AL18" i="2" s="1"/>
  <c r="G18" i="2" s="1"/>
  <c r="H18" i="2" s="1"/>
  <c r="C26" i="5"/>
  <c r="D26" i="5"/>
  <c r="F24" i="6"/>
  <c r="G24" i="6" s="1"/>
  <c r="F24" i="7"/>
  <c r="I23" i="3"/>
  <c r="M23" i="3" s="1"/>
  <c r="AS18" i="2"/>
  <c r="J18" i="2" s="1"/>
  <c r="M26" i="2"/>
  <c r="AS19" i="2"/>
  <c r="J19" i="2" s="1"/>
  <c r="AC22" i="2"/>
  <c r="AD22" i="2"/>
  <c r="W25" i="2" l="1"/>
  <c r="Y25" i="2"/>
  <c r="T20" i="5"/>
  <c r="I20" i="4" s="1"/>
  <c r="A19" i="7"/>
  <c r="A19" i="6"/>
  <c r="AF21" i="2"/>
  <c r="T22" i="5"/>
  <c r="D22" i="2" s="1"/>
  <c r="AN26" i="2"/>
  <c r="L19" i="3"/>
  <c r="D19" i="2"/>
  <c r="I19" i="4"/>
  <c r="G21" i="4"/>
  <c r="H21" i="4" s="1"/>
  <c r="K21" i="4" s="1"/>
  <c r="AH21" i="2"/>
  <c r="AD24" i="2"/>
  <c r="AC24" i="2"/>
  <c r="AA25" i="2"/>
  <c r="Z25" i="2"/>
  <c r="AB25" i="2"/>
  <c r="M24" i="5"/>
  <c r="S24" i="5" s="1"/>
  <c r="K24" i="5"/>
  <c r="F21" i="4"/>
  <c r="D29" i="4"/>
  <c r="F29" i="3"/>
  <c r="C30" i="2"/>
  <c r="AC23" i="2"/>
  <c r="AD23" i="2"/>
  <c r="AI26" i="2"/>
  <c r="O26" i="2"/>
  <c r="W26" i="2" s="1"/>
  <c r="O23" i="5"/>
  <c r="Q23" i="5"/>
  <c r="P23" i="5"/>
  <c r="R23" i="5" s="1"/>
  <c r="D19" i="6"/>
  <c r="D19" i="7"/>
  <c r="G18" i="3"/>
  <c r="C27" i="5"/>
  <c r="D27" i="5"/>
  <c r="H25" i="5"/>
  <c r="I25" i="5" s="1"/>
  <c r="Z24" i="2"/>
  <c r="E19" i="7"/>
  <c r="E19" i="6"/>
  <c r="H18" i="3"/>
  <c r="AO25" i="2"/>
  <c r="AP25" i="2" s="1"/>
  <c r="I25" i="2" s="1"/>
  <c r="X25" i="2"/>
  <c r="AR20" i="2"/>
  <c r="AQ20" i="2"/>
  <c r="AJ20" i="2"/>
  <c r="J28" i="3"/>
  <c r="K28" i="3" s="1"/>
  <c r="E28" i="4" s="1"/>
  <c r="A28" i="5"/>
  <c r="B28" i="5" s="1"/>
  <c r="K29" i="2"/>
  <c r="L28" i="2"/>
  <c r="M28" i="2" s="1"/>
  <c r="U26" i="2"/>
  <c r="V26" i="2" s="1"/>
  <c r="O21" i="5"/>
  <c r="Q21" i="5"/>
  <c r="P21" i="5"/>
  <c r="R21" i="5" s="1"/>
  <c r="AF22" i="2"/>
  <c r="AE22" i="2"/>
  <c r="AG22" i="2" s="1"/>
  <c r="Q27" i="2"/>
  <c r="P27" i="2"/>
  <c r="S27" i="2"/>
  <c r="R27" i="2"/>
  <c r="N27" i="2"/>
  <c r="AM27" i="2"/>
  <c r="E20" i="7"/>
  <c r="E20" i="6"/>
  <c r="H19" i="3"/>
  <c r="E26" i="5"/>
  <c r="F26" i="5" s="1"/>
  <c r="G26" i="5" s="1"/>
  <c r="M27" i="2"/>
  <c r="X24" i="2"/>
  <c r="AO24" i="2"/>
  <c r="AP24" i="2" s="1"/>
  <c r="I24" i="2" s="1"/>
  <c r="D20" i="2" l="1"/>
  <c r="L20" i="3"/>
  <c r="L22" i="3"/>
  <c r="AJ21" i="2"/>
  <c r="I22" i="4"/>
  <c r="T21" i="5"/>
  <c r="L21" i="3" s="1"/>
  <c r="A20" i="7"/>
  <c r="A20" i="6"/>
  <c r="H26" i="5"/>
  <c r="I26" i="5" s="1"/>
  <c r="J26" i="5" s="1"/>
  <c r="M26" i="5" s="1"/>
  <c r="S26" i="5" s="1"/>
  <c r="X26" i="2"/>
  <c r="F25" i="7"/>
  <c r="F25" i="6"/>
  <c r="G25" i="6" s="1"/>
  <c r="I24" i="3"/>
  <c r="M24" i="3" s="1"/>
  <c r="C28" i="5"/>
  <c r="D28" i="5"/>
  <c r="E27" i="5"/>
  <c r="F27" i="5" s="1"/>
  <c r="G27" i="5" s="1"/>
  <c r="F30" i="3"/>
  <c r="D30" i="4"/>
  <c r="C31" i="2"/>
  <c r="N24" i="5"/>
  <c r="L24" i="5"/>
  <c r="AC25" i="2"/>
  <c r="AD25" i="2"/>
  <c r="A23" i="7"/>
  <c r="A23" i="6"/>
  <c r="G22" i="4"/>
  <c r="H22" i="4" s="1"/>
  <c r="K22" i="4" s="1"/>
  <c r="AH22" i="2"/>
  <c r="J25" i="5"/>
  <c r="M25" i="5" s="1"/>
  <c r="S25" i="5" s="1"/>
  <c r="U27" i="2"/>
  <c r="V27" i="2" s="1"/>
  <c r="P28" i="2"/>
  <c r="AM28" i="2"/>
  <c r="S28" i="2"/>
  <c r="R28" i="2"/>
  <c r="Q28" i="2"/>
  <c r="N28" i="2"/>
  <c r="AK20" i="2"/>
  <c r="AL20" i="2" s="1"/>
  <c r="G20" i="2" s="1"/>
  <c r="H20" i="2" s="1"/>
  <c r="T23" i="5"/>
  <c r="AE23" i="2"/>
  <c r="AF23" i="2" s="1"/>
  <c r="A21" i="6"/>
  <c r="A21" i="7"/>
  <c r="AE24" i="2"/>
  <c r="AG24" i="2" s="1"/>
  <c r="AR21" i="2"/>
  <c r="AQ21" i="2"/>
  <c r="AN27" i="2"/>
  <c r="AI27" i="2"/>
  <c r="O27" i="2"/>
  <c r="W27" i="2" s="1"/>
  <c r="F22" i="4"/>
  <c r="AJ22" i="2"/>
  <c r="T26" i="2"/>
  <c r="Y26" i="2" s="1"/>
  <c r="AO26" i="2" s="1"/>
  <c r="AP26" i="2" s="1"/>
  <c r="I26" i="2" s="1"/>
  <c r="A29" i="5"/>
  <c r="B29" i="5" s="1"/>
  <c r="J29" i="3"/>
  <c r="K29" i="3" s="1"/>
  <c r="E29" i="4" s="1"/>
  <c r="L29" i="2"/>
  <c r="M29" i="2" s="1"/>
  <c r="K30" i="2"/>
  <c r="AS20" i="2"/>
  <c r="J20" i="2" s="1"/>
  <c r="F26" i="6"/>
  <c r="G26" i="6" s="1"/>
  <c r="F26" i="7"/>
  <c r="I25" i="3"/>
  <c r="M25" i="3" s="1"/>
  <c r="AG23" i="2"/>
  <c r="AK21" i="2"/>
  <c r="AL21" i="2" s="1"/>
  <c r="G21" i="2" s="1"/>
  <c r="H21" i="2" s="1"/>
  <c r="D21" i="2" l="1"/>
  <c r="I21" i="4"/>
  <c r="K26" i="5"/>
  <c r="N26" i="5" s="1"/>
  <c r="H27" i="5"/>
  <c r="I27" i="5" s="1"/>
  <c r="F23" i="4"/>
  <c r="X27" i="2"/>
  <c r="G24" i="4"/>
  <c r="H24" i="4" s="1"/>
  <c r="AH24" i="2"/>
  <c r="F27" i="7"/>
  <c r="F27" i="6"/>
  <c r="G27" i="6" s="1"/>
  <c r="I26" i="3"/>
  <c r="M26" i="3" s="1"/>
  <c r="L26" i="5"/>
  <c r="AK22" i="2"/>
  <c r="AL22" i="2" s="1"/>
  <c r="G22" i="2" s="1"/>
  <c r="H22" i="2" s="1"/>
  <c r="D21" i="7"/>
  <c r="D21" i="6"/>
  <c r="G20" i="3"/>
  <c r="AI28" i="2"/>
  <c r="O28" i="2"/>
  <c r="AR22" i="2"/>
  <c r="AQ22" i="2"/>
  <c r="O24" i="5"/>
  <c r="P24" i="5"/>
  <c r="R24" i="5" s="1"/>
  <c r="Q24" i="5"/>
  <c r="D22" i="7"/>
  <c r="D22" i="6"/>
  <c r="G21" i="3"/>
  <c r="G23" i="4"/>
  <c r="H23" i="4" s="1"/>
  <c r="K23" i="4" s="1"/>
  <c r="AH23" i="2"/>
  <c r="E21" i="7"/>
  <c r="E21" i="6"/>
  <c r="H20" i="3"/>
  <c r="AS21" i="2"/>
  <c r="J21" i="2" s="1"/>
  <c r="AF24" i="2"/>
  <c r="T27" i="2"/>
  <c r="Y27" i="2" s="1"/>
  <c r="AE25" i="2"/>
  <c r="AF25" i="2" s="1"/>
  <c r="F31" i="3"/>
  <c r="D31" i="4"/>
  <c r="C32" i="2"/>
  <c r="A22" i="6"/>
  <c r="A22" i="7"/>
  <c r="I23" i="4"/>
  <c r="L23" i="3"/>
  <c r="D23" i="2"/>
  <c r="T28" i="2"/>
  <c r="U28" i="2"/>
  <c r="V28" i="2" s="1"/>
  <c r="AG25" i="2"/>
  <c r="A30" i="5"/>
  <c r="B30" i="5" s="1"/>
  <c r="J30" i="3"/>
  <c r="K30" i="3" s="1"/>
  <c r="E30" i="4" s="1"/>
  <c r="K31" i="2"/>
  <c r="L30" i="2"/>
  <c r="M30" i="2" s="1"/>
  <c r="C29" i="5"/>
  <c r="D29" i="5"/>
  <c r="AM29" i="2"/>
  <c r="S29" i="2"/>
  <c r="R29" i="2"/>
  <c r="N29" i="2"/>
  <c r="Q29" i="2"/>
  <c r="P29" i="2"/>
  <c r="Z26" i="2"/>
  <c r="AB26" i="2"/>
  <c r="AA26" i="2"/>
  <c r="W28" i="2"/>
  <c r="AN28" i="2"/>
  <c r="E28" i="5"/>
  <c r="F28" i="5" s="1"/>
  <c r="G28" i="5" s="1"/>
  <c r="K25" i="5"/>
  <c r="T24" i="5" l="1"/>
  <c r="AS22" i="2"/>
  <c r="J22" i="2" s="1"/>
  <c r="AN29" i="2"/>
  <c r="E23" i="7"/>
  <c r="E23" i="6"/>
  <c r="H22" i="3"/>
  <c r="D23" i="6"/>
  <c r="D23" i="7"/>
  <c r="G22" i="3"/>
  <c r="X28" i="2"/>
  <c r="K24" i="4"/>
  <c r="D32" i="4"/>
  <c r="F32" i="3"/>
  <c r="C33" i="2"/>
  <c r="Y28" i="2"/>
  <c r="AB27" i="2"/>
  <c r="AA27" i="2"/>
  <c r="Z27" i="2"/>
  <c r="J27" i="5"/>
  <c r="M27" i="5" s="1"/>
  <c r="S27" i="5" s="1"/>
  <c r="L25" i="5"/>
  <c r="N25" i="5"/>
  <c r="H28" i="5"/>
  <c r="I28" i="5" s="1"/>
  <c r="AC26" i="2"/>
  <c r="AD26" i="2"/>
  <c r="E29" i="5"/>
  <c r="F29" i="5" s="1"/>
  <c r="G29" i="5" s="1"/>
  <c r="AI29" i="2"/>
  <c r="O29" i="2"/>
  <c r="W29" i="2" s="1"/>
  <c r="U29" i="2"/>
  <c r="V29" i="2" s="1"/>
  <c r="R30" i="2"/>
  <c r="N30" i="2"/>
  <c r="Q30" i="2"/>
  <c r="P30" i="2"/>
  <c r="AM30" i="2"/>
  <c r="S30" i="2"/>
  <c r="C30" i="5"/>
  <c r="D30" i="5"/>
  <c r="F24" i="4"/>
  <c r="AJ24" i="2"/>
  <c r="O26" i="5"/>
  <c r="Q26" i="5"/>
  <c r="P26" i="5"/>
  <c r="R26" i="5" s="1"/>
  <c r="AO27" i="2"/>
  <c r="AP27" i="2" s="1"/>
  <c r="I27" i="2" s="1"/>
  <c r="A31" i="5"/>
  <c r="B31" i="5" s="1"/>
  <c r="J31" i="3"/>
  <c r="K31" i="3" s="1"/>
  <c r="E31" i="4" s="1"/>
  <c r="K32" i="2"/>
  <c r="L31" i="2"/>
  <c r="M31" i="2" s="1"/>
  <c r="G25" i="4"/>
  <c r="H25" i="4" s="1"/>
  <c r="K25" i="4" s="1"/>
  <c r="AH25" i="2"/>
  <c r="A24" i="6"/>
  <c r="A24" i="7"/>
  <c r="F25" i="4"/>
  <c r="AJ25" i="2"/>
  <c r="E22" i="7"/>
  <c r="E22" i="6"/>
  <c r="H21" i="3"/>
  <c r="AR23" i="2"/>
  <c r="AQ23" i="2"/>
  <c r="I24" i="4"/>
  <c r="L24" i="3"/>
  <c r="D24" i="2"/>
  <c r="AR24" i="2"/>
  <c r="AQ24" i="2"/>
  <c r="AJ23" i="2"/>
  <c r="AS24" i="2" l="1"/>
  <c r="J24" i="2" s="1"/>
  <c r="E25" i="7" s="1"/>
  <c r="F11" i="1"/>
  <c r="K67" i="2"/>
  <c r="AS23" i="2"/>
  <c r="J23" i="2" s="1"/>
  <c r="E24" i="7" s="1"/>
  <c r="E25" i="6"/>
  <c r="H24" i="3"/>
  <c r="X29" i="2"/>
  <c r="A25" i="6"/>
  <c r="A25" i="7"/>
  <c r="AQ25" i="2"/>
  <c r="AR25" i="2"/>
  <c r="H29" i="5"/>
  <c r="I29" i="5" s="1"/>
  <c r="AK25" i="2"/>
  <c r="AL25" i="2" s="1"/>
  <c r="G25" i="2" s="1"/>
  <c r="H25" i="2" s="1"/>
  <c r="U30" i="2"/>
  <c r="V30" i="2" s="1"/>
  <c r="AE26" i="2"/>
  <c r="AF26" i="2" s="1"/>
  <c r="J28" i="5"/>
  <c r="M28" i="5" s="1"/>
  <c r="S28" i="5" s="1"/>
  <c r="AB28" i="2"/>
  <c r="AA28" i="2"/>
  <c r="Z28" i="2"/>
  <c r="K27" i="5"/>
  <c r="Q31" i="2"/>
  <c r="P31" i="2"/>
  <c r="AM31" i="2"/>
  <c r="N31" i="2"/>
  <c r="S31" i="2"/>
  <c r="R31" i="2"/>
  <c r="C31" i="5"/>
  <c r="D31" i="5"/>
  <c r="T26" i="5"/>
  <c r="E30" i="5"/>
  <c r="F30" i="5" s="1"/>
  <c r="G30" i="5" s="1"/>
  <c r="AN30" i="2"/>
  <c r="F33" i="3"/>
  <c r="D33" i="4"/>
  <c r="C34" i="2"/>
  <c r="AK23" i="2"/>
  <c r="AL23" i="2" s="1"/>
  <c r="G23" i="2" s="1"/>
  <c r="H23" i="2" s="1"/>
  <c r="J32" i="3"/>
  <c r="K32" i="3" s="1"/>
  <c r="E32" i="4" s="1"/>
  <c r="A32" i="5"/>
  <c r="B32" i="5" s="1"/>
  <c r="K33" i="2"/>
  <c r="L32" i="2"/>
  <c r="F28" i="6"/>
  <c r="G28" i="6" s="1"/>
  <c r="F28" i="7"/>
  <c r="I27" i="3"/>
  <c r="M27" i="3" s="1"/>
  <c r="AK24" i="2"/>
  <c r="AL24" i="2" s="1"/>
  <c r="G24" i="2" s="1"/>
  <c r="H24" i="2" s="1"/>
  <c r="O30" i="2"/>
  <c r="W30" i="2" s="1"/>
  <c r="AI30" i="2"/>
  <c r="T29" i="2"/>
  <c r="Y29" i="2" s="1"/>
  <c r="O25" i="5"/>
  <c r="Q25" i="5"/>
  <c r="P25" i="5"/>
  <c r="R25" i="5" s="1"/>
  <c r="AC27" i="2"/>
  <c r="AD27" i="2"/>
  <c r="AO28" i="2"/>
  <c r="AP28" i="2" s="1"/>
  <c r="I28" i="2" s="1"/>
  <c r="T25" i="5" l="1"/>
  <c r="I25" i="4" s="1"/>
  <c r="AG26" i="2"/>
  <c r="H23" i="3"/>
  <c r="AN31" i="2"/>
  <c r="E24" i="6"/>
  <c r="F26" i="4"/>
  <c r="X30" i="2"/>
  <c r="D26" i="6"/>
  <c r="D26" i="7"/>
  <c r="G25" i="3"/>
  <c r="L25" i="3"/>
  <c r="D25" i="2"/>
  <c r="D25" i="7"/>
  <c r="D25" i="6"/>
  <c r="G24" i="3"/>
  <c r="D24" i="7"/>
  <c r="D24" i="6"/>
  <c r="G23" i="3"/>
  <c r="P32" i="2"/>
  <c r="AM32" i="2"/>
  <c r="S32" i="2"/>
  <c r="N32" i="2"/>
  <c r="R32" i="2"/>
  <c r="Q32" i="2"/>
  <c r="H30" i="5"/>
  <c r="I30" i="5" s="1"/>
  <c r="J30" i="5" s="1"/>
  <c r="M30" i="5" s="1"/>
  <c r="S30" i="5" s="1"/>
  <c r="T30" i="2"/>
  <c r="Y30" i="2" s="1"/>
  <c r="K28" i="5"/>
  <c r="G26" i="4"/>
  <c r="H26" i="4" s="1"/>
  <c r="K26" i="4" s="1"/>
  <c r="AH26" i="2"/>
  <c r="AC28" i="2"/>
  <c r="AD28" i="2"/>
  <c r="I26" i="4"/>
  <c r="L26" i="3"/>
  <c r="D26" i="2"/>
  <c r="C32" i="5"/>
  <c r="D32" i="5"/>
  <c r="F34" i="3"/>
  <c r="D34" i="4"/>
  <c r="C35" i="2"/>
  <c r="O31" i="2"/>
  <c r="W31" i="2" s="1"/>
  <c r="AI31" i="2"/>
  <c r="J29" i="5"/>
  <c r="M29" i="5" s="1"/>
  <c r="S29" i="5" s="1"/>
  <c r="AS25" i="2"/>
  <c r="J25" i="2" s="1"/>
  <c r="F29" i="7"/>
  <c r="F29" i="6"/>
  <c r="G29" i="6" s="1"/>
  <c r="I28" i="3"/>
  <c r="M28" i="3" s="1"/>
  <c r="A33" i="5"/>
  <c r="B33" i="5" s="1"/>
  <c r="J33" i="3"/>
  <c r="K33" i="3" s="1"/>
  <c r="E33" i="4" s="1"/>
  <c r="K34" i="2"/>
  <c r="L33" i="2"/>
  <c r="AE27" i="2"/>
  <c r="AF27" i="2" s="1"/>
  <c r="AA29" i="2"/>
  <c r="Z29" i="2"/>
  <c r="AB29" i="2"/>
  <c r="M32" i="2"/>
  <c r="E31" i="5"/>
  <c r="F31" i="5" s="1"/>
  <c r="G31" i="5" s="1"/>
  <c r="U31" i="2"/>
  <c r="V31" i="2" s="1"/>
  <c r="T31" i="2"/>
  <c r="N27" i="5"/>
  <c r="L27" i="5"/>
  <c r="AO29" i="2"/>
  <c r="AP29" i="2" s="1"/>
  <c r="I29" i="2" s="1"/>
  <c r="K30" i="5" l="1"/>
  <c r="F27" i="4"/>
  <c r="X31" i="2"/>
  <c r="L30" i="5"/>
  <c r="N30" i="5"/>
  <c r="H31" i="5"/>
  <c r="I31" i="5" s="1"/>
  <c r="J31" i="5" s="1"/>
  <c r="M31" i="5" s="1"/>
  <c r="S31" i="5" s="1"/>
  <c r="AC29" i="2"/>
  <c r="AD29" i="2"/>
  <c r="AM33" i="2"/>
  <c r="S33" i="2"/>
  <c r="R33" i="2"/>
  <c r="N33" i="2"/>
  <c r="Q33" i="2"/>
  <c r="P33" i="2"/>
  <c r="D33" i="5"/>
  <c r="C33" i="5"/>
  <c r="E26" i="7"/>
  <c r="E26" i="6"/>
  <c r="H25" i="3"/>
  <c r="D35" i="4"/>
  <c r="F35" i="3"/>
  <c r="C36" i="2"/>
  <c r="E32" i="5"/>
  <c r="F32" i="5" s="1"/>
  <c r="G32" i="5" s="1"/>
  <c r="AE28" i="2"/>
  <c r="AG28" i="2" s="1"/>
  <c r="N28" i="5"/>
  <c r="L28" i="5"/>
  <c r="U32" i="2"/>
  <c r="V32" i="2" s="1"/>
  <c r="O27" i="5"/>
  <c r="Q27" i="5"/>
  <c r="P27" i="5"/>
  <c r="R27" i="5" s="1"/>
  <c r="Y31" i="2"/>
  <c r="AG27" i="2"/>
  <c r="A34" i="5"/>
  <c r="B34" i="5" s="1"/>
  <c r="J34" i="3"/>
  <c r="K34" i="3" s="1"/>
  <c r="E34" i="4" s="1"/>
  <c r="K35" i="2"/>
  <c r="L34" i="2"/>
  <c r="Z30" i="2"/>
  <c r="AB30" i="2"/>
  <c r="AA30" i="2"/>
  <c r="AN32" i="2"/>
  <c r="AO30" i="2"/>
  <c r="AP30" i="2" s="1"/>
  <c r="I30" i="2" s="1"/>
  <c r="F30" i="6"/>
  <c r="G30" i="6" s="1"/>
  <c r="F30" i="7"/>
  <c r="I29" i="3"/>
  <c r="M29" i="3" s="1"/>
  <c r="A27" i="7"/>
  <c r="A27" i="6"/>
  <c r="AR26" i="2"/>
  <c r="AQ26" i="2"/>
  <c r="AI32" i="2"/>
  <c r="O32" i="2"/>
  <c r="T32" i="2" s="1"/>
  <c r="Y32" i="2" s="1"/>
  <c r="AJ26" i="2"/>
  <c r="M33" i="2"/>
  <c r="T27" i="5"/>
  <c r="K29" i="5"/>
  <c r="A26" i="6"/>
  <c r="A26" i="7"/>
  <c r="AS26" i="2" l="1"/>
  <c r="J26" i="2" s="1"/>
  <c r="G28" i="4"/>
  <c r="H28" i="4" s="1"/>
  <c r="AH28" i="2"/>
  <c r="AB32" i="2"/>
  <c r="H32" i="5"/>
  <c r="I32" i="5" s="1"/>
  <c r="AC30" i="2"/>
  <c r="AD30" i="2"/>
  <c r="AB31" i="2"/>
  <c r="AA31" i="2"/>
  <c r="Z31" i="2"/>
  <c r="O28" i="5"/>
  <c r="P28" i="5"/>
  <c r="R28" i="5" s="1"/>
  <c r="T28" i="5" s="1"/>
  <c r="Q28" i="5"/>
  <c r="AN33" i="2"/>
  <c r="W32" i="2"/>
  <c r="AA32" i="2" s="1"/>
  <c r="R34" i="2"/>
  <c r="N34" i="2"/>
  <c r="Q34" i="2"/>
  <c r="S34" i="2"/>
  <c r="P34" i="2"/>
  <c r="AM34" i="2"/>
  <c r="C34" i="5"/>
  <c r="D34" i="5"/>
  <c r="D36" i="4"/>
  <c r="C37" i="2"/>
  <c r="F36" i="3"/>
  <c r="AE29" i="2"/>
  <c r="AF29" i="2"/>
  <c r="K31" i="5"/>
  <c r="AO31" i="2"/>
  <c r="AP31" i="2" s="1"/>
  <c r="I31" i="2" s="1"/>
  <c r="I27" i="4"/>
  <c r="L27" i="3"/>
  <c r="D27" i="2"/>
  <c r="F31" i="7"/>
  <c r="F31" i="6"/>
  <c r="G31" i="6" s="1"/>
  <c r="I30" i="3"/>
  <c r="M30" i="3" s="1"/>
  <c r="A35" i="5"/>
  <c r="B35" i="5" s="1"/>
  <c r="J35" i="3"/>
  <c r="K35" i="3" s="1"/>
  <c r="E35" i="4" s="1"/>
  <c r="K36" i="2"/>
  <c r="L35" i="2"/>
  <c r="G27" i="4"/>
  <c r="H27" i="4" s="1"/>
  <c r="K27" i="4" s="1"/>
  <c r="AH27" i="2"/>
  <c r="AF28" i="2"/>
  <c r="AG29" i="2"/>
  <c r="O30" i="5"/>
  <c r="Q30" i="5"/>
  <c r="P30" i="5"/>
  <c r="R30" i="5" s="1"/>
  <c r="E27" i="7"/>
  <c r="E27" i="6"/>
  <c r="H26" i="3"/>
  <c r="L29" i="5"/>
  <c r="N29" i="5"/>
  <c r="AK26" i="2"/>
  <c r="AL26" i="2" s="1"/>
  <c r="G26" i="2" s="1"/>
  <c r="H26" i="2" s="1"/>
  <c r="M34" i="2"/>
  <c r="E33" i="5"/>
  <c r="F33" i="5" s="1"/>
  <c r="G33" i="5" s="1"/>
  <c r="AI33" i="2"/>
  <c r="O33" i="2"/>
  <c r="W33" i="2" s="1"/>
  <c r="U33" i="2"/>
  <c r="V33" i="2" s="1"/>
  <c r="D27" i="6" l="1"/>
  <c r="D27" i="7"/>
  <c r="G26" i="3"/>
  <c r="AC32" i="2"/>
  <c r="AD32" i="2"/>
  <c r="H33" i="5"/>
  <c r="I33" i="5" s="1"/>
  <c r="J33" i="5" s="1"/>
  <c r="M33" i="5" s="1"/>
  <c r="S33" i="5" s="1"/>
  <c r="X33" i="2"/>
  <c r="G29" i="4"/>
  <c r="H29" i="4" s="1"/>
  <c r="K29" i="4" s="1"/>
  <c r="AH29" i="2"/>
  <c r="Q35" i="2"/>
  <c r="P35" i="2"/>
  <c r="S35" i="2"/>
  <c r="R35" i="2"/>
  <c r="AM35" i="2"/>
  <c r="AN35" i="2" s="1"/>
  <c r="N35" i="2"/>
  <c r="D35" i="5"/>
  <c r="C35" i="5"/>
  <c r="N31" i="5"/>
  <c r="L31" i="5"/>
  <c r="E34" i="5"/>
  <c r="F34" i="5" s="1"/>
  <c r="G34" i="5" s="1"/>
  <c r="AI34" i="2"/>
  <c r="O34" i="2"/>
  <c r="T34" i="2" s="1"/>
  <c r="F28" i="4"/>
  <c r="AJ28" i="2"/>
  <c r="A36" i="5"/>
  <c r="B36" i="5" s="1"/>
  <c r="J36" i="3"/>
  <c r="K36" i="3" s="1"/>
  <c r="E36" i="4" s="1"/>
  <c r="K37" i="2"/>
  <c r="L36" i="2"/>
  <c r="A28" i="6"/>
  <c r="A28" i="7"/>
  <c r="F29" i="4"/>
  <c r="AJ29" i="2"/>
  <c r="D37" i="4"/>
  <c r="F37" i="3"/>
  <c r="C38" i="2"/>
  <c r="U34" i="2"/>
  <c r="V34" i="2" s="1"/>
  <c r="X32" i="2"/>
  <c r="AO32" i="2"/>
  <c r="AP32" i="2" s="1"/>
  <c r="I32" i="2" s="1"/>
  <c r="AE30" i="2"/>
  <c r="AF30" i="2" s="1"/>
  <c r="J32" i="5"/>
  <c r="M32" i="5" s="1"/>
  <c r="S32" i="5" s="1"/>
  <c r="T33" i="2"/>
  <c r="Y33" i="2" s="1"/>
  <c r="AO33" i="2" s="1"/>
  <c r="AP33" i="2" s="1"/>
  <c r="I33" i="2" s="1"/>
  <c r="AQ27" i="2"/>
  <c r="AR27" i="2"/>
  <c r="AJ27" i="2"/>
  <c r="M35" i="2"/>
  <c r="AQ28" i="2"/>
  <c r="AR28" i="2"/>
  <c r="I28" i="4"/>
  <c r="L28" i="3"/>
  <c r="D28" i="2"/>
  <c r="O29" i="5"/>
  <c r="Q29" i="5"/>
  <c r="P29" i="5"/>
  <c r="R29" i="5" s="1"/>
  <c r="T30" i="5"/>
  <c r="F32" i="6"/>
  <c r="G32" i="6" s="1"/>
  <c r="F32" i="7"/>
  <c r="I31" i="3"/>
  <c r="M31" i="3" s="1"/>
  <c r="AN34" i="2"/>
  <c r="W34" i="2"/>
  <c r="AC31" i="2"/>
  <c r="AD31" i="2"/>
  <c r="Z32" i="2"/>
  <c r="K28" i="4"/>
  <c r="T29" i="5" l="1"/>
  <c r="I29" i="4" s="1"/>
  <c r="AS28" i="2"/>
  <c r="J28" i="2" s="1"/>
  <c r="AG30" i="2"/>
  <c r="K33" i="5"/>
  <c r="E29" i="7"/>
  <c r="E29" i="6"/>
  <c r="H28" i="3"/>
  <c r="F34" i="7"/>
  <c r="I33" i="3"/>
  <c r="L29" i="3"/>
  <c r="D29" i="2"/>
  <c r="A29" i="6"/>
  <c r="A29" i="7"/>
  <c r="F33" i="7"/>
  <c r="F33" i="6"/>
  <c r="G33" i="6" s="1"/>
  <c r="I32" i="3"/>
  <c r="M32" i="3" s="1"/>
  <c r="D38" i="4"/>
  <c r="F38" i="3"/>
  <c r="C39" i="2"/>
  <c r="P36" i="2"/>
  <c r="S36" i="2"/>
  <c r="AM36" i="2"/>
  <c r="R36" i="2"/>
  <c r="Q36" i="2"/>
  <c r="N36" i="2"/>
  <c r="AK28" i="2"/>
  <c r="AL28" i="2" s="1"/>
  <c r="G28" i="2" s="1"/>
  <c r="H28" i="2" s="1"/>
  <c r="E35" i="5"/>
  <c r="F35" i="5" s="1"/>
  <c r="G35" i="5" s="1"/>
  <c r="AI35" i="2"/>
  <c r="O35" i="2"/>
  <c r="W35" i="2" s="1"/>
  <c r="N33" i="5"/>
  <c r="L33" i="5"/>
  <c r="K32" i="5"/>
  <c r="I30" i="4"/>
  <c r="L30" i="3"/>
  <c r="D30" i="2"/>
  <c r="G30" i="4"/>
  <c r="H30" i="4" s="1"/>
  <c r="K30" i="4" s="1"/>
  <c r="AH30" i="2"/>
  <c r="AS27" i="2"/>
  <c r="J27" i="2" s="1"/>
  <c r="A37" i="5"/>
  <c r="B37" i="5" s="1"/>
  <c r="J37" i="3"/>
  <c r="K37" i="3" s="1"/>
  <c r="E37" i="4" s="1"/>
  <c r="K38" i="2"/>
  <c r="L37" i="2"/>
  <c r="H34" i="5"/>
  <c r="I34" i="5" s="1"/>
  <c r="J34" i="5" s="1"/>
  <c r="M34" i="5" s="1"/>
  <c r="S34" i="5" s="1"/>
  <c r="AE31" i="2"/>
  <c r="AF31" i="2" s="1"/>
  <c r="X34" i="2"/>
  <c r="Y34" i="2"/>
  <c r="AO34" i="2" s="1"/>
  <c r="AP34" i="2" s="1"/>
  <c r="I34" i="2" s="1"/>
  <c r="AQ29" i="2"/>
  <c r="AR29" i="2"/>
  <c r="AE32" i="2"/>
  <c r="AG32" i="2" s="1"/>
  <c r="AK27" i="2"/>
  <c r="AL27" i="2" s="1"/>
  <c r="G27" i="2" s="1"/>
  <c r="H27" i="2" s="1"/>
  <c r="AA33" i="2"/>
  <c r="Z33" i="2"/>
  <c r="AB33" i="2"/>
  <c r="F30" i="4"/>
  <c r="AJ30" i="2"/>
  <c r="AK29" i="2"/>
  <c r="AL29" i="2" s="1"/>
  <c r="G29" i="2" s="1"/>
  <c r="H29" i="2" s="1"/>
  <c r="M36" i="2"/>
  <c r="D36" i="5"/>
  <c r="C36" i="5"/>
  <c r="O31" i="5"/>
  <c r="T31" i="5" s="1"/>
  <c r="Q31" i="5"/>
  <c r="P31" i="5"/>
  <c r="R31" i="5" s="1"/>
  <c r="U35" i="2"/>
  <c r="V35" i="2" s="1"/>
  <c r="T35" i="2"/>
  <c r="Y35" i="2" s="1"/>
  <c r="AG31" i="2" l="1"/>
  <c r="AS29" i="2"/>
  <c r="J29" i="2" s="1"/>
  <c r="E30" i="7" s="1"/>
  <c r="AN36" i="2"/>
  <c r="E30" i="6"/>
  <c r="H29" i="3"/>
  <c r="D29" i="7"/>
  <c r="D29" i="6"/>
  <c r="G28" i="3"/>
  <c r="H35" i="5"/>
  <c r="I35" i="5" s="1"/>
  <c r="J35" i="5" s="1"/>
  <c r="M35" i="5" s="1"/>
  <c r="S35" i="5" s="1"/>
  <c r="D30" i="6"/>
  <c r="D30" i="7"/>
  <c r="G29" i="3"/>
  <c r="AO35" i="2"/>
  <c r="AP35" i="2" s="1"/>
  <c r="I35" i="2" s="1"/>
  <c r="X35" i="2"/>
  <c r="I31" i="4"/>
  <c r="L31" i="3"/>
  <c r="D31" i="2"/>
  <c r="G32" i="4"/>
  <c r="H32" i="4" s="1"/>
  <c r="AH32" i="2"/>
  <c r="F31" i="4"/>
  <c r="AR30" i="2"/>
  <c r="AQ30" i="2"/>
  <c r="A31" i="7"/>
  <c r="A31" i="6"/>
  <c r="Q33" i="5"/>
  <c r="P33" i="5"/>
  <c r="R33" i="5" s="1"/>
  <c r="O33" i="5"/>
  <c r="D39" i="4"/>
  <c r="F39" i="3"/>
  <c r="C40" i="2"/>
  <c r="AB35" i="2"/>
  <c r="AA35" i="2"/>
  <c r="Z35" i="2"/>
  <c r="D28" i="7"/>
  <c r="D28" i="6"/>
  <c r="G27" i="3"/>
  <c r="F36" i="5"/>
  <c r="G36" i="5" s="1"/>
  <c r="E36" i="5"/>
  <c r="Q37" i="2"/>
  <c r="P37" i="2"/>
  <c r="S37" i="2"/>
  <c r="AM37" i="2"/>
  <c r="R37" i="2"/>
  <c r="N37" i="2"/>
  <c r="C37" i="5"/>
  <c r="D37" i="5"/>
  <c r="A30" i="6"/>
  <c r="A30" i="7"/>
  <c r="F35" i="7"/>
  <c r="I34" i="3"/>
  <c r="K34" i="5"/>
  <c r="A38" i="5"/>
  <c r="B38" i="5" s="1"/>
  <c r="J38" i="3"/>
  <c r="K38" i="3" s="1"/>
  <c r="E38" i="4" s="1"/>
  <c r="K39" i="2"/>
  <c r="L38" i="2"/>
  <c r="M38" i="2" s="1"/>
  <c r="G31" i="4"/>
  <c r="H31" i="4" s="1"/>
  <c r="K31" i="4" s="1"/>
  <c r="AH31" i="2"/>
  <c r="N32" i="5"/>
  <c r="L32" i="5"/>
  <c r="U36" i="2"/>
  <c r="V36" i="2" s="1"/>
  <c r="AK30" i="2"/>
  <c r="AL30" i="2" s="1"/>
  <c r="G30" i="2" s="1"/>
  <c r="H30" i="2" s="1"/>
  <c r="AD33" i="2"/>
  <c r="AC33" i="2"/>
  <c r="AF32" i="2"/>
  <c r="Z34" i="2"/>
  <c r="AB34" i="2"/>
  <c r="AA34" i="2"/>
  <c r="M37" i="2"/>
  <c r="E28" i="7"/>
  <c r="E28" i="6"/>
  <c r="H27" i="3"/>
  <c r="AI36" i="2"/>
  <c r="O36" i="2"/>
  <c r="W36" i="2" s="1"/>
  <c r="AN37" i="2" l="1"/>
  <c r="K35" i="5"/>
  <c r="X36" i="2"/>
  <c r="D31" i="6"/>
  <c r="D31" i="7"/>
  <c r="G30" i="3"/>
  <c r="AE33" i="2"/>
  <c r="AF33" i="2"/>
  <c r="AQ31" i="2"/>
  <c r="AR31" i="2"/>
  <c r="U37" i="2"/>
  <c r="V37" i="2" s="1"/>
  <c r="H36" i="5"/>
  <c r="I36" i="5" s="1"/>
  <c r="J36" i="5" s="1"/>
  <c r="M36" i="5" s="1"/>
  <c r="S36" i="5" s="1"/>
  <c r="A32" i="6"/>
  <c r="A32" i="7"/>
  <c r="N35" i="5"/>
  <c r="L35" i="5"/>
  <c r="T36" i="2"/>
  <c r="Y36" i="2" s="1"/>
  <c r="AO36" i="2" s="1"/>
  <c r="AP36" i="2" s="1"/>
  <c r="I36" i="2" s="1"/>
  <c r="A39" i="5"/>
  <c r="B39" i="5" s="1"/>
  <c r="J39" i="3"/>
  <c r="K39" i="3" s="1"/>
  <c r="E39" i="4" s="1"/>
  <c r="K40" i="2"/>
  <c r="L39" i="2"/>
  <c r="O37" i="2"/>
  <c r="T37" i="2" s="1"/>
  <c r="Y37" i="2" s="1"/>
  <c r="AI37" i="2"/>
  <c r="AD35" i="2"/>
  <c r="AC35" i="2"/>
  <c r="AQ32" i="2"/>
  <c r="AR32" i="2"/>
  <c r="AD34" i="2"/>
  <c r="AC34" i="2"/>
  <c r="F32" i="4"/>
  <c r="AJ32" i="2"/>
  <c r="C38" i="5"/>
  <c r="D38" i="5"/>
  <c r="E37" i="5"/>
  <c r="F37" i="5" s="1"/>
  <c r="G37" i="5" s="1"/>
  <c r="T33" i="5"/>
  <c r="K32" i="4"/>
  <c r="K34" i="4" s="1"/>
  <c r="AG33" i="2"/>
  <c r="P32" i="5"/>
  <c r="R32" i="5" s="1"/>
  <c r="Q32" i="5"/>
  <c r="O32" i="5"/>
  <c r="P38" i="2"/>
  <c r="AM38" i="2"/>
  <c r="R38" i="2"/>
  <c r="Q38" i="2"/>
  <c r="S38" i="2"/>
  <c r="N38" i="2"/>
  <c r="N34" i="5"/>
  <c r="L34" i="5"/>
  <c r="F40" i="3"/>
  <c r="C41" i="2"/>
  <c r="D40" i="4"/>
  <c r="AS30" i="2"/>
  <c r="J30" i="2" s="1"/>
  <c r="AJ31" i="2"/>
  <c r="F36" i="7"/>
  <c r="I35" i="3"/>
  <c r="T32" i="5" l="1"/>
  <c r="L32" i="3" s="1"/>
  <c r="W37" i="2"/>
  <c r="F37" i="7"/>
  <c r="I36" i="3"/>
  <c r="I32" i="4"/>
  <c r="AA37" i="2"/>
  <c r="Z37" i="2"/>
  <c r="AB37" i="2"/>
  <c r="U38" i="2"/>
  <c r="V38" i="2" s="1"/>
  <c r="AK32" i="2"/>
  <c r="AL32" i="2" s="1"/>
  <c r="G32" i="2" s="1"/>
  <c r="H32" i="2" s="1"/>
  <c r="AO37" i="2"/>
  <c r="AP37" i="2" s="1"/>
  <c r="I37" i="2" s="1"/>
  <c r="X37" i="2"/>
  <c r="A40" i="5"/>
  <c r="B40" i="5" s="1"/>
  <c r="K41" i="2"/>
  <c r="J40" i="3"/>
  <c r="K40" i="3" s="1"/>
  <c r="E40" i="4" s="1"/>
  <c r="L40" i="2"/>
  <c r="M40" i="2" s="1"/>
  <c r="F33" i="4"/>
  <c r="Q34" i="5"/>
  <c r="P34" i="5"/>
  <c r="R34" i="5" s="1"/>
  <c r="O34" i="5"/>
  <c r="G33" i="4"/>
  <c r="H33" i="4" s="1"/>
  <c r="AH33" i="2"/>
  <c r="H37" i="5"/>
  <c r="I37" i="5" s="1"/>
  <c r="D41" i="4"/>
  <c r="F41" i="3"/>
  <c r="C42" i="2"/>
  <c r="AE35" i="2"/>
  <c r="AG35" i="2" s="1"/>
  <c r="O35" i="5"/>
  <c r="Q35" i="5"/>
  <c r="P35" i="5"/>
  <c r="R35" i="5" s="1"/>
  <c r="K36" i="5"/>
  <c r="O38" i="2"/>
  <c r="T38" i="2" s="1"/>
  <c r="Y38" i="2" s="1"/>
  <c r="AI38" i="2"/>
  <c r="A34" i="7"/>
  <c r="I33" i="4"/>
  <c r="L33" i="3"/>
  <c r="D33" i="2"/>
  <c r="E38" i="5"/>
  <c r="F38" i="5" s="1"/>
  <c r="G38" i="5" s="1"/>
  <c r="AS32" i="2"/>
  <c r="J32" i="2" s="1"/>
  <c r="AM39" i="2"/>
  <c r="S39" i="2"/>
  <c r="N39" i="2"/>
  <c r="R39" i="2"/>
  <c r="Q39" i="2"/>
  <c r="P39" i="2"/>
  <c r="D39" i="5"/>
  <c r="C39" i="5"/>
  <c r="AS31" i="2"/>
  <c r="J31" i="2" s="1"/>
  <c r="AK31" i="2"/>
  <c r="AL31" i="2" s="1"/>
  <c r="G31" i="2" s="1"/>
  <c r="H31" i="2" s="1"/>
  <c r="E31" i="7"/>
  <c r="E31" i="6"/>
  <c r="H30" i="3"/>
  <c r="T34" i="5"/>
  <c r="AN38" i="2"/>
  <c r="AE34" i="2"/>
  <c r="AG34" i="2" s="1"/>
  <c r="M39" i="2"/>
  <c r="Z36" i="2"/>
  <c r="AB36" i="2"/>
  <c r="AA36" i="2"/>
  <c r="W38" i="2" l="1"/>
  <c r="AN39" i="2"/>
  <c r="J37" i="5"/>
  <c r="M37" i="5" s="1"/>
  <c r="S37" i="5" s="1"/>
  <c r="D32" i="2"/>
  <c r="AF35" i="2"/>
  <c r="H38" i="5"/>
  <c r="I38" i="5" s="1"/>
  <c r="J38" i="5" s="1"/>
  <c r="D32" i="7"/>
  <c r="D32" i="6"/>
  <c r="G31" i="3"/>
  <c r="G35" i="4"/>
  <c r="H35" i="4" s="1"/>
  <c r="AH35" i="2"/>
  <c r="G34" i="4"/>
  <c r="H34" i="4" s="1"/>
  <c r="AH34" i="2"/>
  <c r="AB38" i="2"/>
  <c r="AA38" i="2"/>
  <c r="Z38" i="2"/>
  <c r="X38" i="2"/>
  <c r="AO38" i="2"/>
  <c r="AP38" i="2" s="1"/>
  <c r="I38" i="2" s="1"/>
  <c r="E39" i="5"/>
  <c r="F39" i="5" s="1"/>
  <c r="G39" i="5" s="1"/>
  <c r="AI39" i="2"/>
  <c r="O39" i="2"/>
  <c r="T39" i="2" s="1"/>
  <c r="U39" i="2"/>
  <c r="V39" i="2" s="1"/>
  <c r="N36" i="5"/>
  <c r="L36" i="5"/>
  <c r="AQ33" i="2"/>
  <c r="AR33" i="2"/>
  <c r="D33" i="7"/>
  <c r="D33" i="6"/>
  <c r="G32" i="3"/>
  <c r="AC36" i="2"/>
  <c r="AD36" i="2"/>
  <c r="F35" i="4"/>
  <c r="AJ35" i="2"/>
  <c r="AJ33" i="2"/>
  <c r="F38" i="7"/>
  <c r="I37" i="3"/>
  <c r="AC37" i="2"/>
  <c r="AD37" i="2"/>
  <c r="A35" i="7"/>
  <c r="I34" i="4"/>
  <c r="L34" i="3"/>
  <c r="D34" i="2"/>
  <c r="AF34" i="2"/>
  <c r="E33" i="7"/>
  <c r="E33" i="6"/>
  <c r="H32" i="3"/>
  <c r="F42" i="3"/>
  <c r="D42" i="4"/>
  <c r="C43" i="2"/>
  <c r="A41" i="5"/>
  <c r="B41" i="5" s="1"/>
  <c r="J41" i="3"/>
  <c r="K41" i="3" s="1"/>
  <c r="E41" i="4" s="1"/>
  <c r="M41" i="2"/>
  <c r="L41" i="2"/>
  <c r="K42" i="2"/>
  <c r="E32" i="7"/>
  <c r="E32" i="6"/>
  <c r="H31" i="3"/>
  <c r="T35" i="5"/>
  <c r="R40" i="2"/>
  <c r="N40" i="2"/>
  <c r="P40" i="2"/>
  <c r="S40" i="2"/>
  <c r="AM40" i="2"/>
  <c r="Q40" i="2"/>
  <c r="D40" i="5"/>
  <c r="C40" i="5"/>
  <c r="A33" i="7"/>
  <c r="A33" i="6"/>
  <c r="J3" i="6" s="1"/>
  <c r="D11" i="1" s="1"/>
  <c r="Y39" i="2" l="1"/>
  <c r="K37" i="5"/>
  <c r="AB39" i="2"/>
  <c r="J39" i="5"/>
  <c r="M39" i="5" s="1"/>
  <c r="S39" i="5" s="1"/>
  <c r="H39" i="5"/>
  <c r="I39" i="5" s="1"/>
  <c r="M38" i="5"/>
  <c r="S38" i="5" s="1"/>
  <c r="K38" i="5"/>
  <c r="F39" i="7"/>
  <c r="I38" i="3"/>
  <c r="AD38" i="2"/>
  <c r="AC38" i="2"/>
  <c r="AQ35" i="2"/>
  <c r="AR35" i="2"/>
  <c r="O40" i="2"/>
  <c r="T40" i="2" s="1"/>
  <c r="AI40" i="2"/>
  <c r="AK35" i="2"/>
  <c r="AL35" i="2" s="1"/>
  <c r="G35" i="2" s="1"/>
  <c r="H35" i="2" s="1"/>
  <c r="G35" i="3" s="1"/>
  <c r="D36" i="7" s="1"/>
  <c r="P36" i="5"/>
  <c r="R36" i="5" s="1"/>
  <c r="O36" i="5"/>
  <c r="Q36" i="5"/>
  <c r="U40" i="2"/>
  <c r="V40" i="2" s="1"/>
  <c r="A42" i="5"/>
  <c r="B42" i="5" s="1"/>
  <c r="J42" i="3"/>
  <c r="K42" i="3" s="1"/>
  <c r="E42" i="4" s="1"/>
  <c r="K43" i="2"/>
  <c r="L42" i="2"/>
  <c r="M42" i="2" s="1"/>
  <c r="AE37" i="2"/>
  <c r="AF37" i="2" s="1"/>
  <c r="AK33" i="2"/>
  <c r="AL33" i="2" s="1"/>
  <c r="G33" i="2" s="1"/>
  <c r="H33" i="2" s="1"/>
  <c r="G33" i="3" s="1"/>
  <c r="D34" i="7" s="1"/>
  <c r="AS33" i="2"/>
  <c r="J33" i="2" s="1"/>
  <c r="H33" i="3" s="1"/>
  <c r="E34" i="7" s="1"/>
  <c r="AR34" i="2"/>
  <c r="AQ34" i="2"/>
  <c r="A36" i="7"/>
  <c r="L35" i="3"/>
  <c r="I35" i="4"/>
  <c r="D35" i="2"/>
  <c r="F34" i="4"/>
  <c r="AJ34" i="2"/>
  <c r="E40" i="5"/>
  <c r="F40" i="5" s="1"/>
  <c r="G40" i="5" s="1"/>
  <c r="W39" i="2"/>
  <c r="Z39" i="2" s="1"/>
  <c r="D41" i="5"/>
  <c r="C41" i="5"/>
  <c r="AN40" i="2"/>
  <c r="Q41" i="2"/>
  <c r="AM41" i="2"/>
  <c r="R41" i="2"/>
  <c r="P41" i="2"/>
  <c r="N41" i="2"/>
  <c r="S41" i="2"/>
  <c r="D43" i="4"/>
  <c r="F43" i="3"/>
  <c r="C44" i="2"/>
  <c r="AG37" i="2"/>
  <c r="AE36" i="2"/>
  <c r="AF36" i="2" s="1"/>
  <c r="W40" i="2" l="1"/>
  <c r="AS34" i="2"/>
  <c r="J34" i="2" s="1"/>
  <c r="H34" i="3" s="1"/>
  <c r="E35" i="7" s="1"/>
  <c r="T36" i="5"/>
  <c r="I36" i="4" s="1"/>
  <c r="N37" i="5"/>
  <c r="L37" i="5"/>
  <c r="K39" i="5"/>
  <c r="L39" i="5" s="1"/>
  <c r="N39" i="5"/>
  <c r="F36" i="4"/>
  <c r="H40" i="5"/>
  <c r="I40" i="5" s="1"/>
  <c r="J40" i="5" s="1"/>
  <c r="M40" i="5" s="1"/>
  <c r="S40" i="5" s="1"/>
  <c r="G37" i="4"/>
  <c r="H37" i="4" s="1"/>
  <c r="AH37" i="2"/>
  <c r="N38" i="5"/>
  <c r="L38" i="5"/>
  <c r="AG36" i="2"/>
  <c r="D44" i="4"/>
  <c r="C45" i="2"/>
  <c r="F44" i="3"/>
  <c r="E41" i="5"/>
  <c r="F41" i="5" s="1"/>
  <c r="G41" i="5" s="1"/>
  <c r="P42" i="2"/>
  <c r="S42" i="2"/>
  <c r="N42" i="2"/>
  <c r="AM42" i="2"/>
  <c r="AN42" i="2" s="1"/>
  <c r="R42" i="2"/>
  <c r="Q42" i="2"/>
  <c r="X40" i="2"/>
  <c r="AE38" i="2"/>
  <c r="AG38" i="2" s="1"/>
  <c r="O41" i="2"/>
  <c r="T41" i="2" s="1"/>
  <c r="AI41" i="2"/>
  <c r="C42" i="5"/>
  <c r="D42" i="5"/>
  <c r="U41" i="2"/>
  <c r="V41" i="2" s="1"/>
  <c r="AN41" i="2"/>
  <c r="AK34" i="2"/>
  <c r="AL34" i="2" s="1"/>
  <c r="G34" i="2" s="1"/>
  <c r="H34" i="2" s="1"/>
  <c r="G34" i="3" s="1"/>
  <c r="D35" i="7" s="1"/>
  <c r="A43" i="5"/>
  <c r="B43" i="5" s="1"/>
  <c r="J43" i="3"/>
  <c r="K43" i="3" s="1"/>
  <c r="E43" i="4" s="1"/>
  <c r="K44" i="2"/>
  <c r="L43" i="2"/>
  <c r="M43" i="2" s="1"/>
  <c r="AS35" i="2"/>
  <c r="J35" i="2" s="1"/>
  <c r="H35" i="3" s="1"/>
  <c r="E36" i="7" s="1"/>
  <c r="AO39" i="2"/>
  <c r="AP39" i="2" s="1"/>
  <c r="I39" i="2" s="1"/>
  <c r="X39" i="2"/>
  <c r="F37" i="4"/>
  <c r="AJ37" i="2"/>
  <c r="Y40" i="2"/>
  <c r="AO40" i="2" s="1"/>
  <c r="AP40" i="2" s="1"/>
  <c r="I40" i="2" s="1"/>
  <c r="AA39" i="2"/>
  <c r="A37" i="7" l="1"/>
  <c r="W41" i="2"/>
  <c r="L36" i="3"/>
  <c r="D36" i="2"/>
  <c r="P37" i="5"/>
  <c r="R37" i="5" s="1"/>
  <c r="O37" i="5"/>
  <c r="Q37" i="5"/>
  <c r="F41" i="7"/>
  <c r="I40" i="3"/>
  <c r="G38" i="4"/>
  <c r="H38" i="4" s="1"/>
  <c r="AH38" i="2"/>
  <c r="H41" i="5"/>
  <c r="I41" i="5" s="1"/>
  <c r="J41" i="5" s="1"/>
  <c r="F40" i="7"/>
  <c r="I39" i="3"/>
  <c r="E42" i="5"/>
  <c r="F42" i="5" s="1"/>
  <c r="G42" i="5" s="1"/>
  <c r="AI42" i="2"/>
  <c r="O42" i="2"/>
  <c r="W42" i="2" s="1"/>
  <c r="D45" i="4"/>
  <c r="F45" i="3"/>
  <c r="C46" i="2"/>
  <c r="AD39" i="2"/>
  <c r="AC39" i="2"/>
  <c r="AM43" i="2"/>
  <c r="S43" i="2"/>
  <c r="P43" i="2"/>
  <c r="N43" i="2"/>
  <c r="R43" i="2"/>
  <c r="Q43" i="2"/>
  <c r="D43" i="5"/>
  <c r="C43" i="5"/>
  <c r="Y41" i="2"/>
  <c r="Q38" i="5"/>
  <c r="P38" i="5"/>
  <c r="R38" i="5" s="1"/>
  <c r="O38" i="5"/>
  <c r="Z40" i="2"/>
  <c r="AA40" i="2"/>
  <c r="AB40" i="2"/>
  <c r="AF38" i="2"/>
  <c r="G36" i="4"/>
  <c r="H36" i="4" s="1"/>
  <c r="AH36" i="2"/>
  <c r="K40" i="5"/>
  <c r="AK37" i="2"/>
  <c r="AL37" i="2" s="1"/>
  <c r="G37" i="2" s="1"/>
  <c r="H37" i="2" s="1"/>
  <c r="G37" i="3" s="1"/>
  <c r="D38" i="7" s="1"/>
  <c r="X41" i="2"/>
  <c r="A44" i="5"/>
  <c r="B44" i="5" s="1"/>
  <c r="J44" i="3"/>
  <c r="K44" i="3" s="1"/>
  <c r="E44" i="4" s="1"/>
  <c r="L44" i="2"/>
  <c r="M44" i="2" s="1"/>
  <c r="K45" i="2"/>
  <c r="T42" i="2"/>
  <c r="U42" i="2"/>
  <c r="V42" i="2" s="1"/>
  <c r="AQ37" i="2"/>
  <c r="AR37" i="2"/>
  <c r="O39" i="5"/>
  <c r="Q39" i="5"/>
  <c r="P39" i="5"/>
  <c r="R39" i="5" s="1"/>
  <c r="AN43" i="2" l="1"/>
  <c r="T37" i="5"/>
  <c r="T39" i="5"/>
  <c r="D39" i="2" s="1"/>
  <c r="Y42" i="2"/>
  <c r="AA42" i="2" s="1"/>
  <c r="H42" i="5"/>
  <c r="I42" i="5" s="1"/>
  <c r="J42" i="5" s="1"/>
  <c r="M41" i="5"/>
  <c r="S41" i="5" s="1"/>
  <c r="K41" i="5"/>
  <c r="AB42" i="2"/>
  <c r="AQ36" i="2"/>
  <c r="AR36" i="2"/>
  <c r="AJ36" i="2"/>
  <c r="AS37" i="2"/>
  <c r="J37" i="2" s="1"/>
  <c r="H37" i="3" s="1"/>
  <c r="E38" i="7" s="1"/>
  <c r="D44" i="5"/>
  <c r="C44" i="5"/>
  <c r="AD40" i="2"/>
  <c r="AC40" i="2"/>
  <c r="A45" i="5"/>
  <c r="B45" i="5" s="1"/>
  <c r="J45" i="3"/>
  <c r="K45" i="3" s="1"/>
  <c r="E45" i="4" s="1"/>
  <c r="L45" i="2"/>
  <c r="K46" i="2"/>
  <c r="X42" i="2"/>
  <c r="AO42" i="2"/>
  <c r="AP42" i="2" s="1"/>
  <c r="I42" i="2" s="1"/>
  <c r="AB41" i="2"/>
  <c r="AA41" i="2"/>
  <c r="Z41" i="2"/>
  <c r="AI43" i="2"/>
  <c r="O43" i="2"/>
  <c r="W43" i="2" s="1"/>
  <c r="AE39" i="2"/>
  <c r="AF39" i="2" s="1"/>
  <c r="A40" i="7"/>
  <c r="I39" i="4"/>
  <c r="L39" i="3"/>
  <c r="R44" i="2"/>
  <c r="N44" i="2"/>
  <c r="AM44" i="2"/>
  <c r="Q44" i="2"/>
  <c r="P44" i="2"/>
  <c r="S44" i="2"/>
  <c r="AO41" i="2"/>
  <c r="AP41" i="2" s="1"/>
  <c r="I41" i="2" s="1"/>
  <c r="N40" i="5"/>
  <c r="L40" i="5"/>
  <c r="F38" i="4"/>
  <c r="AJ38" i="2"/>
  <c r="T38" i="5"/>
  <c r="E43" i="5"/>
  <c r="F43" i="5" s="1"/>
  <c r="G43" i="5" s="1"/>
  <c r="U43" i="2"/>
  <c r="V43" i="2" s="1"/>
  <c r="D46" i="4"/>
  <c r="F46" i="3"/>
  <c r="C47" i="2"/>
  <c r="AQ38" i="2"/>
  <c r="AR38" i="2"/>
  <c r="Z42" i="2" l="1"/>
  <c r="AN44" i="2"/>
  <c r="AS38" i="2"/>
  <c r="J38" i="2" s="1"/>
  <c r="H38" i="3" s="1"/>
  <c r="E39" i="7" s="1"/>
  <c r="T43" i="2"/>
  <c r="Y43" i="2" s="1"/>
  <c r="AA43" i="2" s="1"/>
  <c r="AG39" i="2"/>
  <c r="G39" i="4" s="1"/>
  <c r="H39" i="4" s="1"/>
  <c r="I37" i="4"/>
  <c r="L37" i="3"/>
  <c r="D37" i="2"/>
  <c r="A38" i="7"/>
  <c r="X43" i="2"/>
  <c r="F39" i="4"/>
  <c r="M42" i="5"/>
  <c r="S42" i="5" s="1"/>
  <c r="K42" i="5"/>
  <c r="U44" i="2"/>
  <c r="V44" i="2" s="1"/>
  <c r="Q45" i="2"/>
  <c r="S45" i="2"/>
  <c r="N45" i="2"/>
  <c r="AM45" i="2"/>
  <c r="AN45" i="2" s="1"/>
  <c r="R45" i="2"/>
  <c r="P45" i="2"/>
  <c r="AH39" i="2"/>
  <c r="AJ39" i="2" s="1"/>
  <c r="E44" i="5"/>
  <c r="F44" i="5" s="1"/>
  <c r="G44" i="5" s="1"/>
  <c r="AD42" i="2"/>
  <c r="AC42" i="2"/>
  <c r="P40" i="5"/>
  <c r="R40" i="5" s="1"/>
  <c r="Q40" i="5"/>
  <c r="O40" i="5"/>
  <c r="D47" i="4"/>
  <c r="F47" i="3"/>
  <c r="C48" i="2"/>
  <c r="AK38" i="2"/>
  <c r="AL38" i="2" s="1"/>
  <c r="G38" i="2" s="1"/>
  <c r="H38" i="2" s="1"/>
  <c r="G38" i="3" s="1"/>
  <c r="D39" i="7" s="1"/>
  <c r="O44" i="2"/>
  <c r="T44" i="2" s="1"/>
  <c r="AI44" i="2"/>
  <c r="F43" i="7"/>
  <c r="I42" i="3"/>
  <c r="M45" i="2"/>
  <c r="AS36" i="2"/>
  <c r="J36" i="2" s="1"/>
  <c r="H36" i="3" s="1"/>
  <c r="E37" i="7" s="1"/>
  <c r="A39" i="7"/>
  <c r="I38" i="4"/>
  <c r="L38" i="3"/>
  <c r="D38" i="2"/>
  <c r="F42" i="7"/>
  <c r="I41" i="3"/>
  <c r="N41" i="5"/>
  <c r="L41" i="5"/>
  <c r="H43" i="5"/>
  <c r="I43" i="5" s="1"/>
  <c r="J43" i="5" s="1"/>
  <c r="AC41" i="2"/>
  <c r="AD41" i="2"/>
  <c r="A46" i="5"/>
  <c r="B46" i="5" s="1"/>
  <c r="J46" i="3"/>
  <c r="K46" i="3" s="1"/>
  <c r="E46" i="4" s="1"/>
  <c r="K47" i="2"/>
  <c r="L46" i="2"/>
  <c r="M46" i="2" s="1"/>
  <c r="D45" i="5"/>
  <c r="C45" i="5"/>
  <c r="AE40" i="2"/>
  <c r="AG40" i="2" s="1"/>
  <c r="AK36" i="2"/>
  <c r="AL36" i="2" s="1"/>
  <c r="G36" i="2" s="1"/>
  <c r="H36" i="2" s="1"/>
  <c r="G36" i="3" s="1"/>
  <c r="D37" i="7" s="1"/>
  <c r="T40" i="5" l="1"/>
  <c r="AB43" i="2"/>
  <c r="Y44" i="2"/>
  <c r="AB44" i="2" s="1"/>
  <c r="Z43" i="2"/>
  <c r="AO43" i="2"/>
  <c r="AP43" i="2" s="1"/>
  <c r="I43" i="2" s="1"/>
  <c r="M43" i="5"/>
  <c r="S43" i="5" s="1"/>
  <c r="K43" i="5"/>
  <c r="H44" i="5"/>
  <c r="I44" i="5" s="1"/>
  <c r="J44" i="5" s="1"/>
  <c r="M44" i="5" s="1"/>
  <c r="S44" i="5" s="1"/>
  <c r="G40" i="4"/>
  <c r="H40" i="4" s="1"/>
  <c r="AH40" i="2"/>
  <c r="AK39" i="2"/>
  <c r="AL39" i="2" s="1"/>
  <c r="G39" i="2" s="1"/>
  <c r="H39" i="2" s="1"/>
  <c r="G39" i="3" s="1"/>
  <c r="D40" i="7" s="1"/>
  <c r="C49" i="2"/>
  <c r="D48" i="4"/>
  <c r="F48" i="3"/>
  <c r="W44" i="2"/>
  <c r="C46" i="5"/>
  <c r="D46" i="5"/>
  <c r="AF40" i="2"/>
  <c r="AE41" i="2"/>
  <c r="AG41" i="2" s="1"/>
  <c r="AD43" i="2"/>
  <c r="AC43" i="2"/>
  <c r="Q41" i="5"/>
  <c r="O41" i="5"/>
  <c r="T41" i="5" s="1"/>
  <c r="P41" i="5"/>
  <c r="R41" i="5" s="1"/>
  <c r="P46" i="2"/>
  <c r="S46" i="2"/>
  <c r="N46" i="2"/>
  <c r="AM46" i="2"/>
  <c r="R46" i="2"/>
  <c r="Q46" i="2"/>
  <c r="E45" i="5"/>
  <c r="F45" i="5" s="1"/>
  <c r="G45" i="5" s="1"/>
  <c r="A47" i="5"/>
  <c r="B47" i="5" s="1"/>
  <c r="J47" i="3"/>
  <c r="K47" i="3" s="1"/>
  <c r="E47" i="4" s="1"/>
  <c r="L47" i="2"/>
  <c r="M47" i="2"/>
  <c r="K48" i="2"/>
  <c r="AQ39" i="2"/>
  <c r="AR39" i="2"/>
  <c r="AI45" i="2"/>
  <c r="O45" i="2"/>
  <c r="T45" i="2" s="1"/>
  <c r="Y45" i="2" s="1"/>
  <c r="U45" i="2"/>
  <c r="V45" i="2" s="1"/>
  <c r="N42" i="5"/>
  <c r="L42" i="5"/>
  <c r="A41" i="7"/>
  <c r="L40" i="3"/>
  <c r="D40" i="2"/>
  <c r="I40" i="4"/>
  <c r="AE42" i="2"/>
  <c r="AG42" i="2" s="1"/>
  <c r="F44" i="7"/>
  <c r="I43" i="3"/>
  <c r="AS39" i="2" l="1"/>
  <c r="J39" i="2" s="1"/>
  <c r="H39" i="3" s="1"/>
  <c r="E40" i="7" s="1"/>
  <c r="AF41" i="2"/>
  <c r="AF42" i="2"/>
  <c r="H45" i="5"/>
  <c r="I45" i="5" s="1"/>
  <c r="J45" i="5" s="1"/>
  <c r="M45" i="5" s="1"/>
  <c r="S45" i="5" s="1"/>
  <c r="G42" i="4"/>
  <c r="H42" i="4" s="1"/>
  <c r="AH42" i="2"/>
  <c r="AB45" i="2"/>
  <c r="A42" i="7"/>
  <c r="L41" i="3"/>
  <c r="I41" i="4"/>
  <c r="D41" i="2"/>
  <c r="F41" i="4"/>
  <c r="AO44" i="2"/>
  <c r="AP44" i="2" s="1"/>
  <c r="I44" i="2" s="1"/>
  <c r="X44" i="2"/>
  <c r="F42" i="4"/>
  <c r="AJ42" i="2"/>
  <c r="A48" i="5"/>
  <c r="B48" i="5" s="1"/>
  <c r="J48" i="3"/>
  <c r="K48" i="3" s="1"/>
  <c r="E48" i="4" s="1"/>
  <c r="L48" i="2"/>
  <c r="M48" i="2" s="1"/>
  <c r="K49" i="2"/>
  <c r="U46" i="2"/>
  <c r="V46" i="2" s="1"/>
  <c r="W45" i="2"/>
  <c r="AA45" i="2" s="1"/>
  <c r="F40" i="4"/>
  <c r="AJ40" i="2"/>
  <c r="K44" i="5"/>
  <c r="AA44" i="2"/>
  <c r="D47" i="5"/>
  <c r="C47" i="5"/>
  <c r="AE43" i="2"/>
  <c r="AF43" i="2" s="1"/>
  <c r="Q42" i="5"/>
  <c r="P42" i="5"/>
  <c r="R42" i="5" s="1"/>
  <c r="O42" i="5"/>
  <c r="AM47" i="2"/>
  <c r="S47" i="2"/>
  <c r="Q47" i="2"/>
  <c r="P47" i="2"/>
  <c r="N47" i="2"/>
  <c r="R47" i="2"/>
  <c r="O46" i="2"/>
  <c r="W46" i="2" s="1"/>
  <c r="AI46" i="2"/>
  <c r="AR40" i="2"/>
  <c r="AQ40" i="2"/>
  <c r="G41" i="4"/>
  <c r="H41" i="4" s="1"/>
  <c r="AH41" i="2"/>
  <c r="AJ41" i="2" s="1"/>
  <c r="AN46" i="2"/>
  <c r="E46" i="5"/>
  <c r="F46" i="5" s="1"/>
  <c r="G46" i="5" s="1"/>
  <c r="D49" i="4"/>
  <c r="F49" i="3"/>
  <c r="C50" i="2"/>
  <c r="N43" i="5"/>
  <c r="L43" i="5"/>
  <c r="Z44" i="2"/>
  <c r="AG43" i="2" l="1"/>
  <c r="Z45" i="2"/>
  <c r="T42" i="5"/>
  <c r="L42" i="3" s="1"/>
  <c r="F43" i="4"/>
  <c r="X46" i="2"/>
  <c r="AK41" i="2"/>
  <c r="AL41" i="2" s="1"/>
  <c r="G41" i="2" s="1"/>
  <c r="H41" i="2" s="1"/>
  <c r="G41" i="3" s="1"/>
  <c r="D42" i="7" s="1"/>
  <c r="AD45" i="2"/>
  <c r="AC45" i="2"/>
  <c r="F50" i="3"/>
  <c r="D50" i="4"/>
  <c r="C51" i="2"/>
  <c r="E47" i="5"/>
  <c r="F47" i="5" s="1"/>
  <c r="G47" i="5" s="1"/>
  <c r="AK40" i="2"/>
  <c r="AL40" i="2" s="1"/>
  <c r="G40" i="2" s="1"/>
  <c r="H40" i="2" s="1"/>
  <c r="G40" i="3" s="1"/>
  <c r="D41" i="7" s="1"/>
  <c r="T46" i="2"/>
  <c r="Y46" i="2" s="1"/>
  <c r="H46" i="5"/>
  <c r="I46" i="5" s="1"/>
  <c r="G43" i="4"/>
  <c r="H43" i="4" s="1"/>
  <c r="AH43" i="2"/>
  <c r="U47" i="2"/>
  <c r="V47" i="2" s="1"/>
  <c r="AS40" i="2"/>
  <c r="J40" i="2" s="1"/>
  <c r="H40" i="3" s="1"/>
  <c r="E41" i="7" s="1"/>
  <c r="AN47" i="2"/>
  <c r="AD44" i="2"/>
  <c r="AC44" i="2"/>
  <c r="AO45" i="2"/>
  <c r="AP45" i="2" s="1"/>
  <c r="I45" i="2" s="1"/>
  <c r="X45" i="2"/>
  <c r="A49" i="5"/>
  <c r="B49" i="5" s="1"/>
  <c r="J49" i="3"/>
  <c r="K49" i="3" s="1"/>
  <c r="E49" i="4" s="1"/>
  <c r="K50" i="2"/>
  <c r="L49" i="2"/>
  <c r="M49" i="2" s="1"/>
  <c r="D48" i="5"/>
  <c r="C48" i="5"/>
  <c r="K45" i="5"/>
  <c r="O43" i="5"/>
  <c r="Q43" i="5"/>
  <c r="P43" i="5"/>
  <c r="R43" i="5" s="1"/>
  <c r="AQ41" i="2"/>
  <c r="AR41" i="2"/>
  <c r="AI47" i="2"/>
  <c r="O47" i="2"/>
  <c r="T47" i="2" s="1"/>
  <c r="Y47" i="2" s="1"/>
  <c r="N44" i="5"/>
  <c r="L44" i="5"/>
  <c r="R48" i="2"/>
  <c r="N48" i="2"/>
  <c r="S48" i="2"/>
  <c r="AM48" i="2"/>
  <c r="Q48" i="2"/>
  <c r="P48" i="2"/>
  <c r="AK42" i="2"/>
  <c r="AL42" i="2" s="1"/>
  <c r="G42" i="2" s="1"/>
  <c r="H42" i="2" s="1"/>
  <c r="G42" i="3" s="1"/>
  <c r="D43" i="7" s="1"/>
  <c r="F45" i="7"/>
  <c r="I44" i="3"/>
  <c r="AQ42" i="2"/>
  <c r="AR42" i="2"/>
  <c r="D42" i="2" l="1"/>
  <c r="I42" i="4"/>
  <c r="AS42" i="2"/>
  <c r="J42" i="2" s="1"/>
  <c r="H42" i="3" s="1"/>
  <c r="E43" i="7" s="1"/>
  <c r="J46" i="5"/>
  <c r="M46" i="5" s="1"/>
  <c r="S46" i="5" s="1"/>
  <c r="A43" i="7"/>
  <c r="T43" i="5"/>
  <c r="I43" i="4" s="1"/>
  <c r="AB47" i="2"/>
  <c r="H47" i="5"/>
  <c r="I47" i="5" s="1"/>
  <c r="J47" i="5" s="1"/>
  <c r="AI48" i="2"/>
  <c r="O48" i="2"/>
  <c r="T48" i="2" s="1"/>
  <c r="F46" i="7"/>
  <c r="I45" i="3"/>
  <c r="W47" i="2"/>
  <c r="AA47" i="2" s="1"/>
  <c r="AQ43" i="2"/>
  <c r="AR43" i="2"/>
  <c r="AE45" i="2"/>
  <c r="AF45" i="2" s="1"/>
  <c r="E48" i="5"/>
  <c r="F48" i="5" s="1"/>
  <c r="G48" i="5" s="1"/>
  <c r="AN48" i="2"/>
  <c r="AJ43" i="2"/>
  <c r="U48" i="2"/>
  <c r="V48" i="2" s="1"/>
  <c r="P44" i="5"/>
  <c r="R44" i="5" s="1"/>
  <c r="O44" i="5"/>
  <c r="Q44" i="5"/>
  <c r="AS41" i="2"/>
  <c r="J41" i="2" s="1"/>
  <c r="H41" i="3" s="1"/>
  <c r="E42" i="7" s="1"/>
  <c r="Q49" i="2"/>
  <c r="S49" i="2"/>
  <c r="N49" i="2"/>
  <c r="R49" i="2"/>
  <c r="P49" i="2"/>
  <c r="AM49" i="2"/>
  <c r="D49" i="5"/>
  <c r="C49" i="5"/>
  <c r="AE44" i="2"/>
  <c r="AF44" i="2" s="1"/>
  <c r="AB46" i="2"/>
  <c r="Z46" i="2"/>
  <c r="AA46" i="2"/>
  <c r="N45" i="5"/>
  <c r="L45" i="5"/>
  <c r="A50" i="5"/>
  <c r="B50" i="5" s="1"/>
  <c r="J50" i="3"/>
  <c r="K50" i="3" s="1"/>
  <c r="E50" i="4" s="1"/>
  <c r="K51" i="2"/>
  <c r="L50" i="2"/>
  <c r="M50" i="2" s="1"/>
  <c r="F51" i="3"/>
  <c r="C52" i="2"/>
  <c r="AO46" i="2"/>
  <c r="AP46" i="2" s="1"/>
  <c r="I46" i="2" s="1"/>
  <c r="W48" i="2" l="1"/>
  <c r="Y48" i="2"/>
  <c r="L43" i="3"/>
  <c r="AG45" i="2"/>
  <c r="AH45" i="2" s="1"/>
  <c r="A44" i="7"/>
  <c r="D43" i="2"/>
  <c r="AN49" i="2"/>
  <c r="T44" i="5"/>
  <c r="A45" i="7" s="1"/>
  <c r="K46" i="5"/>
  <c r="M47" i="5"/>
  <c r="S47" i="5" s="1"/>
  <c r="K47" i="5"/>
  <c r="F44" i="4"/>
  <c r="AC47" i="2"/>
  <c r="AD47" i="2"/>
  <c r="Z48" i="2"/>
  <c r="AB48" i="2"/>
  <c r="AA48" i="2"/>
  <c r="AG44" i="2"/>
  <c r="H48" i="5"/>
  <c r="I48" i="5" s="1"/>
  <c r="F47" i="7"/>
  <c r="I46" i="3"/>
  <c r="C50" i="5"/>
  <c r="D50" i="5"/>
  <c r="AD46" i="2"/>
  <c r="AC46" i="2"/>
  <c r="AS43" i="2"/>
  <c r="J43" i="2" s="1"/>
  <c r="H43" i="3" s="1"/>
  <c r="E44" i="7" s="1"/>
  <c r="X48" i="2"/>
  <c r="AO48" i="2"/>
  <c r="AP48" i="2" s="1"/>
  <c r="I48" i="2" s="1"/>
  <c r="U49" i="2"/>
  <c r="V49" i="2" s="1"/>
  <c r="F45" i="4"/>
  <c r="G45" i="4"/>
  <c r="H45" i="4" s="1"/>
  <c r="P50" i="2"/>
  <c r="AM50" i="2"/>
  <c r="S50" i="2"/>
  <c r="R50" i="2"/>
  <c r="Q50" i="2"/>
  <c r="N50" i="2"/>
  <c r="E49" i="5"/>
  <c r="F49" i="5" s="1"/>
  <c r="G49" i="5" s="1"/>
  <c r="C53" i="2"/>
  <c r="F52" i="3"/>
  <c r="A51" i="5"/>
  <c r="B51" i="5" s="1"/>
  <c r="J51" i="3"/>
  <c r="K51" i="3" s="1"/>
  <c r="K52" i="2"/>
  <c r="L51" i="2"/>
  <c r="M51" i="2"/>
  <c r="Q45" i="5"/>
  <c r="P45" i="5"/>
  <c r="R45" i="5" s="1"/>
  <c r="O45" i="5"/>
  <c r="O49" i="2"/>
  <c r="W49" i="2" s="1"/>
  <c r="AI49" i="2"/>
  <c r="AK43" i="2"/>
  <c r="AL43" i="2" s="1"/>
  <c r="G43" i="2" s="1"/>
  <c r="H43" i="2" s="1"/>
  <c r="G43" i="3" s="1"/>
  <c r="D44" i="7" s="1"/>
  <c r="X47" i="2"/>
  <c r="AO47" i="2"/>
  <c r="AP47" i="2" s="1"/>
  <c r="I47" i="2" s="1"/>
  <c r="Z47" i="2"/>
  <c r="D44" i="2" l="1"/>
  <c r="T45" i="5"/>
  <c r="L45" i="3" s="1"/>
  <c r="J48" i="5"/>
  <c r="M48" i="5" s="1"/>
  <c r="S48" i="5" s="1"/>
  <c r="L44" i="3"/>
  <c r="I44" i="4"/>
  <c r="N46" i="5"/>
  <c r="L46" i="5"/>
  <c r="X49" i="2"/>
  <c r="D45" i="2"/>
  <c r="D51" i="5"/>
  <c r="C51" i="5"/>
  <c r="F49" i="7"/>
  <c r="I48" i="3"/>
  <c r="H49" i="5"/>
  <c r="I49" i="5" s="1"/>
  <c r="J49" i="5" s="1"/>
  <c r="M49" i="5" s="1"/>
  <c r="S49" i="5" s="1"/>
  <c r="AI50" i="2"/>
  <c r="O50" i="2"/>
  <c r="T50" i="2" s="1"/>
  <c r="AM51" i="2"/>
  <c r="S51" i="2"/>
  <c r="R51" i="2"/>
  <c r="N51" i="2"/>
  <c r="Q51" i="2"/>
  <c r="P51" i="2"/>
  <c r="AR45" i="2"/>
  <c r="AQ45" i="2"/>
  <c r="T49" i="2"/>
  <c r="Y49" i="2" s="1"/>
  <c r="AE46" i="2"/>
  <c r="AG46" i="2" s="1"/>
  <c r="G44" i="4"/>
  <c r="H44" i="4" s="1"/>
  <c r="AH44" i="2"/>
  <c r="AE47" i="2"/>
  <c r="AF47" i="2" s="1"/>
  <c r="A52" i="5"/>
  <c r="B52" i="5" s="1"/>
  <c r="J52" i="3"/>
  <c r="K52" i="3" s="1"/>
  <c r="K53" i="2"/>
  <c r="L52" i="2"/>
  <c r="M52" i="2" s="1"/>
  <c r="F53" i="3"/>
  <c r="C54" i="2"/>
  <c r="U50" i="2"/>
  <c r="V50" i="2" s="1"/>
  <c r="AC48" i="2"/>
  <c r="AD48" i="2"/>
  <c r="N47" i="5"/>
  <c r="L47" i="5"/>
  <c r="F48" i="7"/>
  <c r="I47" i="3"/>
  <c r="AN50" i="2"/>
  <c r="AJ45" i="2"/>
  <c r="E50" i="5"/>
  <c r="F50" i="5" s="1"/>
  <c r="G50" i="5" s="1"/>
  <c r="I45" i="4" l="1"/>
  <c r="K49" i="5"/>
  <c r="Y50" i="2"/>
  <c r="AS45" i="2"/>
  <c r="J45" i="2" s="1"/>
  <c r="H45" i="3" s="1"/>
  <c r="E46" i="7" s="1"/>
  <c r="A46" i="7"/>
  <c r="O46" i="5"/>
  <c r="Q46" i="5"/>
  <c r="P46" i="5"/>
  <c r="R46" i="5" s="1"/>
  <c r="AF46" i="2"/>
  <c r="F46" i="4" s="1"/>
  <c r="W50" i="2"/>
  <c r="K48" i="5"/>
  <c r="G46" i="4"/>
  <c r="H46" i="4" s="1"/>
  <c r="AH46" i="2"/>
  <c r="F47" i="4"/>
  <c r="AB50" i="2"/>
  <c r="O47" i="5"/>
  <c r="Q47" i="5"/>
  <c r="P47" i="5"/>
  <c r="R47" i="5" s="1"/>
  <c r="AO50" i="2"/>
  <c r="AP50" i="2" s="1"/>
  <c r="I50" i="2" s="1"/>
  <c r="AN51" i="2"/>
  <c r="N49" i="5"/>
  <c r="L49" i="5"/>
  <c r="R52" i="2"/>
  <c r="N52" i="2"/>
  <c r="Q52" i="2"/>
  <c r="S52" i="2"/>
  <c r="P52" i="2"/>
  <c r="AM52" i="2"/>
  <c r="AN52" i="2" s="1"/>
  <c r="D52" i="5"/>
  <c r="C52" i="5"/>
  <c r="AB49" i="2"/>
  <c r="AA49" i="2"/>
  <c r="Z49" i="2"/>
  <c r="AR44" i="2"/>
  <c r="AQ44" i="2"/>
  <c r="AJ44" i="2"/>
  <c r="AK45" i="2"/>
  <c r="AL45" i="2" s="1"/>
  <c r="G45" i="2" s="1"/>
  <c r="H45" i="2" s="1"/>
  <c r="G45" i="3" s="1"/>
  <c r="D46" i="7" s="1"/>
  <c r="AG47" i="2"/>
  <c r="A53" i="5"/>
  <c r="B53" i="5" s="1"/>
  <c r="J53" i="3"/>
  <c r="K53" i="3" s="1"/>
  <c r="K54" i="2"/>
  <c r="L53" i="2"/>
  <c r="M53" i="2" s="1"/>
  <c r="E51" i="5"/>
  <c r="F51" i="5" s="1"/>
  <c r="G51" i="5" s="1"/>
  <c r="H50" i="5"/>
  <c r="I50" i="5" s="1"/>
  <c r="J50" i="5" s="1"/>
  <c r="M50" i="5" s="1"/>
  <c r="S50" i="5" s="1"/>
  <c r="AE48" i="2"/>
  <c r="AG48" i="2" s="1"/>
  <c r="C55" i="2"/>
  <c r="F54" i="3"/>
  <c r="AI51" i="2"/>
  <c r="O51" i="2"/>
  <c r="W51" i="2" s="1"/>
  <c r="U51" i="2"/>
  <c r="V51" i="2" s="1"/>
  <c r="AO49" i="2"/>
  <c r="AP49" i="2" s="1"/>
  <c r="I49" i="2" s="1"/>
  <c r="AA50" i="2" l="1"/>
  <c r="AF48" i="2"/>
  <c r="N48" i="5"/>
  <c r="L48" i="5"/>
  <c r="T51" i="2"/>
  <c r="Y51" i="2" s="1"/>
  <c r="T46" i="5"/>
  <c r="X50" i="2"/>
  <c r="Z50" i="2"/>
  <c r="AO51" i="2"/>
  <c r="AP51" i="2" s="1"/>
  <c r="I51" i="2" s="1"/>
  <c r="I51" i="3" s="1"/>
  <c r="X51" i="2"/>
  <c r="H51" i="5"/>
  <c r="I51" i="5" s="1"/>
  <c r="J51" i="5" s="1"/>
  <c r="M51" i="5" s="1"/>
  <c r="S51" i="5" s="1"/>
  <c r="G48" i="4"/>
  <c r="H48" i="4" s="1"/>
  <c r="AH48" i="2"/>
  <c r="F50" i="7"/>
  <c r="I49" i="3"/>
  <c r="F48" i="4"/>
  <c r="AJ48" i="2"/>
  <c r="AD49" i="2"/>
  <c r="AC49" i="2"/>
  <c r="U52" i="2"/>
  <c r="V52" i="2" s="1"/>
  <c r="K50" i="5"/>
  <c r="Q49" i="5"/>
  <c r="P49" i="5"/>
  <c r="R49" i="5" s="1"/>
  <c r="O49" i="5"/>
  <c r="AD50" i="2"/>
  <c r="AC50" i="2"/>
  <c r="AR46" i="2"/>
  <c r="AQ46" i="2"/>
  <c r="F55" i="3"/>
  <c r="C56" i="2"/>
  <c r="D53" i="5"/>
  <c r="C53" i="5"/>
  <c r="AK44" i="2"/>
  <c r="AL44" i="2" s="1"/>
  <c r="G44" i="2" s="1"/>
  <c r="H44" i="2" s="1"/>
  <c r="G44" i="3" s="1"/>
  <c r="D45" i="7" s="1"/>
  <c r="E52" i="5"/>
  <c r="F52" i="5" s="1"/>
  <c r="G52" i="5" s="1"/>
  <c r="F51" i="7"/>
  <c r="I50" i="3"/>
  <c r="T47" i="5"/>
  <c r="AA51" i="2"/>
  <c r="Z51" i="2"/>
  <c r="AB51" i="2"/>
  <c r="Q53" i="2"/>
  <c r="P53" i="2"/>
  <c r="R53" i="2"/>
  <c r="AM53" i="2"/>
  <c r="N53" i="2"/>
  <c r="S53" i="2"/>
  <c r="A54" i="5"/>
  <c r="B54" i="5" s="1"/>
  <c r="J54" i="3"/>
  <c r="K54" i="3" s="1"/>
  <c r="L54" i="2"/>
  <c r="M54" i="2" s="1"/>
  <c r="K55" i="2"/>
  <c r="G47" i="4"/>
  <c r="H47" i="4" s="1"/>
  <c r="AH47" i="2"/>
  <c r="AS44" i="2"/>
  <c r="J44" i="2" s="1"/>
  <c r="H44" i="3" s="1"/>
  <c r="E45" i="7" s="1"/>
  <c r="AI52" i="2"/>
  <c r="O52" i="2"/>
  <c r="T52" i="2" s="1"/>
  <c r="Y52" i="2" s="1"/>
  <c r="AJ46" i="2"/>
  <c r="AS46" i="2" l="1"/>
  <c r="J46" i="2" s="1"/>
  <c r="H46" i="3" s="1"/>
  <c r="E47" i="7" s="1"/>
  <c r="A47" i="7"/>
  <c r="I46" i="4"/>
  <c r="L46" i="3"/>
  <c r="D46" i="2"/>
  <c r="T49" i="5"/>
  <c r="A50" i="7" s="1"/>
  <c r="Q48" i="5"/>
  <c r="P48" i="5"/>
  <c r="R48" i="5" s="1"/>
  <c r="O48" i="5"/>
  <c r="H52" i="5"/>
  <c r="I52" i="5" s="1"/>
  <c r="J52" i="5" s="1"/>
  <c r="M52" i="5" s="1"/>
  <c r="S52" i="5" s="1"/>
  <c r="AB52" i="2"/>
  <c r="U53" i="2"/>
  <c r="V53" i="2" s="1"/>
  <c r="O53" i="2"/>
  <c r="T53" i="2" s="1"/>
  <c r="Y53" i="2" s="1"/>
  <c r="AI53" i="2"/>
  <c r="AD51" i="2"/>
  <c r="AC51" i="2"/>
  <c r="W52" i="2"/>
  <c r="K51" i="5"/>
  <c r="F53" i="5"/>
  <c r="G53" i="5" s="1"/>
  <c r="E53" i="5"/>
  <c r="AE50" i="2"/>
  <c r="AF50" i="2" s="1"/>
  <c r="N50" i="5"/>
  <c r="L50" i="5"/>
  <c r="AE49" i="2"/>
  <c r="AF49" i="2" s="1"/>
  <c r="C54" i="5"/>
  <c r="D54" i="5"/>
  <c r="A55" i="5"/>
  <c r="B55" i="5" s="1"/>
  <c r="J55" i="3"/>
  <c r="K55" i="3" s="1"/>
  <c r="K56" i="2"/>
  <c r="L55" i="2"/>
  <c r="M55" i="2" s="1"/>
  <c r="AN53" i="2"/>
  <c r="AK48" i="2"/>
  <c r="AL48" i="2" s="1"/>
  <c r="G48" i="2" s="1"/>
  <c r="H48" i="2" s="1"/>
  <c r="G48" i="3" s="1"/>
  <c r="D49" i="7" s="1"/>
  <c r="AR48" i="2"/>
  <c r="AQ48" i="2"/>
  <c r="A48" i="7"/>
  <c r="I47" i="4"/>
  <c r="L47" i="3"/>
  <c r="D47" i="2"/>
  <c r="AK46" i="2"/>
  <c r="AL46" i="2" s="1"/>
  <c r="G46" i="2" s="1"/>
  <c r="H46" i="2" s="1"/>
  <c r="G46" i="3" s="1"/>
  <c r="D47" i="7" s="1"/>
  <c r="AR47" i="2"/>
  <c r="AQ47" i="2"/>
  <c r="AJ47" i="2"/>
  <c r="P54" i="2"/>
  <c r="AM54" i="2"/>
  <c r="S54" i="2"/>
  <c r="Q54" i="2"/>
  <c r="N54" i="2"/>
  <c r="R54" i="2"/>
  <c r="F56" i="3"/>
  <c r="C57" i="2"/>
  <c r="I49" i="4" l="1"/>
  <c r="L49" i="3"/>
  <c r="D49" i="2"/>
  <c r="T48" i="5"/>
  <c r="D48" i="2" s="1"/>
  <c r="AN54" i="2"/>
  <c r="W53" i="2"/>
  <c r="AS48" i="2"/>
  <c r="J48" i="2" s="1"/>
  <c r="H48" i="3" s="1"/>
  <c r="E49" i="7" s="1"/>
  <c r="AG49" i="2"/>
  <c r="G49" i="4" s="1"/>
  <c r="H49" i="4" s="1"/>
  <c r="AB53" i="2"/>
  <c r="Z53" i="2"/>
  <c r="AA53" i="2"/>
  <c r="F50" i="4"/>
  <c r="F49" i="4"/>
  <c r="F57" i="3"/>
  <c r="C58" i="2"/>
  <c r="E54" i="5"/>
  <c r="F54" i="5" s="1"/>
  <c r="G54" i="5" s="1"/>
  <c r="Q50" i="5"/>
  <c r="P50" i="5"/>
  <c r="R50" i="5" s="1"/>
  <c r="O50" i="5"/>
  <c r="J53" i="5"/>
  <c r="M53" i="5" s="1"/>
  <c r="S53" i="5" s="1"/>
  <c r="H53" i="5"/>
  <c r="I53" i="5" s="1"/>
  <c r="AE51" i="2"/>
  <c r="AF51" i="2" s="1"/>
  <c r="AO53" i="2"/>
  <c r="AP53" i="2" s="1"/>
  <c r="I53" i="2" s="1"/>
  <c r="I53" i="3" s="1"/>
  <c r="X53" i="2"/>
  <c r="AG50" i="2"/>
  <c r="K52" i="5"/>
  <c r="AI54" i="2"/>
  <c r="O54" i="2"/>
  <c r="W54" i="2" s="1"/>
  <c r="AK47" i="2"/>
  <c r="AL47" i="2" s="1"/>
  <c r="G47" i="2" s="1"/>
  <c r="H47" i="2" s="1"/>
  <c r="G47" i="3" s="1"/>
  <c r="D48" i="7" s="1"/>
  <c r="D55" i="5"/>
  <c r="C55" i="5"/>
  <c r="AO52" i="2"/>
  <c r="AP52" i="2" s="1"/>
  <c r="I52" i="2" s="1"/>
  <c r="I52" i="3" s="1"/>
  <c r="X52" i="2"/>
  <c r="AA52" i="2"/>
  <c r="Q55" i="2"/>
  <c r="S55" i="2"/>
  <c r="N55" i="2"/>
  <c r="AM55" i="2"/>
  <c r="R55" i="2"/>
  <c r="P55" i="2"/>
  <c r="U54" i="2"/>
  <c r="V54" i="2" s="1"/>
  <c r="AS47" i="2"/>
  <c r="J47" i="2" s="1"/>
  <c r="H47" i="3" s="1"/>
  <c r="E48" i="7" s="1"/>
  <c r="A56" i="5"/>
  <c r="B56" i="5" s="1"/>
  <c r="K57" i="2"/>
  <c r="L56" i="2"/>
  <c r="M56" i="2" s="1"/>
  <c r="J56" i="3"/>
  <c r="K56" i="3" s="1"/>
  <c r="T50" i="5"/>
  <c r="N51" i="5"/>
  <c r="L51" i="5"/>
  <c r="AG51" i="2"/>
  <c r="AH51" i="2" s="1"/>
  <c r="Z52" i="2"/>
  <c r="L48" i="3" l="1"/>
  <c r="T54" i="2"/>
  <c r="I48" i="4"/>
  <c r="A49" i="7"/>
  <c r="AH49" i="2"/>
  <c r="AR49" i="2" s="1"/>
  <c r="AN55" i="2"/>
  <c r="K53" i="5"/>
  <c r="N53" i="5" s="1"/>
  <c r="H54" i="5"/>
  <c r="I54" i="5" s="1"/>
  <c r="J54" i="5" s="1"/>
  <c r="X54" i="2"/>
  <c r="N52" i="5"/>
  <c r="L52" i="5"/>
  <c r="AQ49" i="2"/>
  <c r="F53" i="4"/>
  <c r="F52" i="4"/>
  <c r="O51" i="5"/>
  <c r="Q51" i="5"/>
  <c r="P51" i="5"/>
  <c r="R51" i="5" s="1"/>
  <c r="P56" i="2"/>
  <c r="Q56" i="2"/>
  <c r="S56" i="2"/>
  <c r="AM56" i="2"/>
  <c r="R56" i="2"/>
  <c r="N56" i="2"/>
  <c r="O55" i="2"/>
  <c r="W55" i="2" s="1"/>
  <c r="AI55" i="2"/>
  <c r="U55" i="2"/>
  <c r="V55" i="2" s="1"/>
  <c r="G50" i="4"/>
  <c r="H50" i="4" s="1"/>
  <c r="AH50" i="2"/>
  <c r="AJ49" i="2"/>
  <c r="AC53" i="2"/>
  <c r="AD53" i="2"/>
  <c r="A51" i="7"/>
  <c r="I50" i="4"/>
  <c r="L50" i="3"/>
  <c r="D50" i="2"/>
  <c r="A57" i="5"/>
  <c r="B57" i="5" s="1"/>
  <c r="J57" i="3"/>
  <c r="K57" i="3" s="1"/>
  <c r="L57" i="2"/>
  <c r="M57" i="2" s="1"/>
  <c r="K58" i="2"/>
  <c r="Y54" i="2"/>
  <c r="E55" i="5"/>
  <c r="F55" i="5" s="1"/>
  <c r="G55" i="5" s="1"/>
  <c r="AJ51" i="2"/>
  <c r="C59" i="2"/>
  <c r="F58" i="3"/>
  <c r="T51" i="5"/>
  <c r="AQ51" i="2"/>
  <c r="AR51" i="2"/>
  <c r="D56" i="5"/>
  <c r="C56" i="5"/>
  <c r="AC52" i="2"/>
  <c r="AD52" i="2"/>
  <c r="AN56" i="2" l="1"/>
  <c r="L53" i="5"/>
  <c r="T55" i="2"/>
  <c r="Y55" i="2" s="1"/>
  <c r="AO55" i="2" s="1"/>
  <c r="AP55" i="2" s="1"/>
  <c r="I55" i="2" s="1"/>
  <c r="I55" i="3" s="1"/>
  <c r="AS49" i="2"/>
  <c r="J49" i="2" s="1"/>
  <c r="H49" i="3" s="1"/>
  <c r="E50" i="7" s="1"/>
  <c r="X55" i="2"/>
  <c r="M54" i="5"/>
  <c r="S54" i="5" s="1"/>
  <c r="K54" i="5"/>
  <c r="AA55" i="2"/>
  <c r="AS51" i="2"/>
  <c r="J51" i="2" s="1"/>
  <c r="H51" i="3" s="1"/>
  <c r="E52" i="7" s="1"/>
  <c r="F59" i="3"/>
  <c r="C60" i="2"/>
  <c r="AB54" i="2"/>
  <c r="AA54" i="2"/>
  <c r="Z54" i="2"/>
  <c r="AK49" i="2"/>
  <c r="AL49" i="2" s="1"/>
  <c r="G49" i="2" s="1"/>
  <c r="H49" i="2" s="1"/>
  <c r="G49" i="3" s="1"/>
  <c r="D50" i="7" s="1"/>
  <c r="U56" i="2"/>
  <c r="V56" i="2" s="1"/>
  <c r="AE52" i="2"/>
  <c r="AF52" i="2" s="1"/>
  <c r="H55" i="5"/>
  <c r="I55" i="5" s="1"/>
  <c r="J55" i="5" s="1"/>
  <c r="AG52" i="2"/>
  <c r="AH52" i="2" s="1"/>
  <c r="E56" i="5"/>
  <c r="F56" i="5" s="1"/>
  <c r="G56" i="5" s="1"/>
  <c r="AK51" i="2"/>
  <c r="AL51" i="2" s="1"/>
  <c r="G51" i="2" s="1"/>
  <c r="H51" i="2" s="1"/>
  <c r="G51" i="3" s="1"/>
  <c r="D52" i="7" s="1"/>
  <c r="A58" i="5"/>
  <c r="B58" i="5" s="1"/>
  <c r="J58" i="3"/>
  <c r="K58" i="3" s="1"/>
  <c r="K59" i="2"/>
  <c r="L58" i="2"/>
  <c r="M58" i="2" s="1"/>
  <c r="D57" i="5"/>
  <c r="C57" i="5"/>
  <c r="AR50" i="2"/>
  <c r="AQ50" i="2"/>
  <c r="AJ50" i="2"/>
  <c r="Q53" i="5"/>
  <c r="P53" i="5"/>
  <c r="R53" i="5" s="1"/>
  <c r="O53" i="5"/>
  <c r="I51" i="4"/>
  <c r="L51" i="3"/>
  <c r="D51" i="2"/>
  <c r="AM57" i="2"/>
  <c r="S57" i="2"/>
  <c r="R57" i="2"/>
  <c r="Q57" i="2"/>
  <c r="N57" i="2"/>
  <c r="P57" i="2"/>
  <c r="AE53" i="2"/>
  <c r="AG53" i="2" s="1"/>
  <c r="AH53" i="2" s="1"/>
  <c r="O56" i="2"/>
  <c r="W56" i="2" s="1"/>
  <c r="AI56" i="2"/>
  <c r="P52" i="5"/>
  <c r="R52" i="5" s="1"/>
  <c r="O52" i="5"/>
  <c r="Q52" i="5"/>
  <c r="AO54" i="2"/>
  <c r="AP54" i="2" s="1"/>
  <c r="I54" i="2" s="1"/>
  <c r="I54" i="3" s="1"/>
  <c r="AF53" i="2" l="1"/>
  <c r="AS50" i="2"/>
  <c r="J50" i="2" s="1"/>
  <c r="J67" i="2" s="1"/>
  <c r="AB55" i="2"/>
  <c r="AJ52" i="2"/>
  <c r="AK52" i="2" s="1"/>
  <c r="AL52" i="2" s="1"/>
  <c r="G52" i="2" s="1"/>
  <c r="H52" i="2" s="1"/>
  <c r="G52" i="3" s="1"/>
  <c r="D53" i="7" s="1"/>
  <c r="Z55" i="2"/>
  <c r="T52" i="5"/>
  <c r="A52" i="7" s="1"/>
  <c r="X56" i="2"/>
  <c r="H50" i="3"/>
  <c r="J68" i="2"/>
  <c r="M55" i="5"/>
  <c r="S55" i="5" s="1"/>
  <c r="K55" i="5"/>
  <c r="AQ53" i="2"/>
  <c r="AR53" i="2"/>
  <c r="H56" i="5"/>
  <c r="I56" i="5" s="1"/>
  <c r="J56" i="5" s="1"/>
  <c r="M56" i="5" s="1"/>
  <c r="S56" i="5" s="1"/>
  <c r="AK50" i="2"/>
  <c r="AL50" i="2" s="1"/>
  <c r="G50" i="2" s="1"/>
  <c r="H50" i="2" s="1"/>
  <c r="A59" i="5"/>
  <c r="B59" i="5" s="1"/>
  <c r="J59" i="3"/>
  <c r="K59" i="3" s="1"/>
  <c r="K60" i="2"/>
  <c r="L59" i="2"/>
  <c r="F60" i="3"/>
  <c r="C61" i="2"/>
  <c r="AD55" i="2"/>
  <c r="AC55" i="2"/>
  <c r="N54" i="5"/>
  <c r="L54" i="5"/>
  <c r="E57" i="5"/>
  <c r="F57" i="5" s="1"/>
  <c r="G57" i="5" s="1"/>
  <c r="AI57" i="2"/>
  <c r="O57" i="2"/>
  <c r="T57" i="2" s="1"/>
  <c r="U57" i="2"/>
  <c r="V57" i="2" s="1"/>
  <c r="R58" i="2"/>
  <c r="N58" i="2"/>
  <c r="S58" i="2"/>
  <c r="P58" i="2"/>
  <c r="AM58" i="2"/>
  <c r="AN58" i="2" s="1"/>
  <c r="Q58" i="2"/>
  <c r="C58" i="5"/>
  <c r="D58" i="5"/>
  <c r="T56" i="2"/>
  <c r="Y56" i="2" s="1"/>
  <c r="AD54" i="2"/>
  <c r="AC54" i="2"/>
  <c r="AJ53" i="2"/>
  <c r="W57" i="2"/>
  <c r="AN57" i="2"/>
  <c r="T53" i="5"/>
  <c r="AR52" i="2"/>
  <c r="AQ52" i="2"/>
  <c r="AS52" i="2" s="1"/>
  <c r="J52" i="2" s="1"/>
  <c r="H52" i="3" s="1"/>
  <c r="E53" i="7" s="1"/>
  <c r="J69" i="2" l="1"/>
  <c r="D52" i="2"/>
  <c r="L52" i="3"/>
  <c r="Y57" i="2"/>
  <c r="AB57" i="2" s="1"/>
  <c r="K56" i="5"/>
  <c r="I52" i="4"/>
  <c r="H57" i="5"/>
  <c r="I57" i="5" s="1"/>
  <c r="J57" i="5" s="1"/>
  <c r="M57" i="5" s="1"/>
  <c r="S57" i="5" s="1"/>
  <c r="AA57" i="2"/>
  <c r="G50" i="3"/>
  <c r="D51" i="7" s="1"/>
  <c r="H67" i="2"/>
  <c r="H68" i="2"/>
  <c r="F61" i="3"/>
  <c r="C62" i="2"/>
  <c r="Q59" i="2"/>
  <c r="P59" i="2"/>
  <c r="AM59" i="2"/>
  <c r="R59" i="2"/>
  <c r="N59" i="2"/>
  <c r="S59" i="2"/>
  <c r="D59" i="5"/>
  <c r="C59" i="5"/>
  <c r="N56" i="5"/>
  <c r="L56" i="5"/>
  <c r="M3" i="7"/>
  <c r="N3" i="6"/>
  <c r="I11" i="1" s="1"/>
  <c r="E58" i="5"/>
  <c r="F58" i="5" s="1"/>
  <c r="G58" i="5" s="1"/>
  <c r="AE54" i="2"/>
  <c r="AF54" i="2" s="1"/>
  <c r="O58" i="2"/>
  <c r="T58" i="2" s="1"/>
  <c r="AI58" i="2"/>
  <c r="Q54" i="5"/>
  <c r="P54" i="5"/>
  <c r="R54" i="5" s="1"/>
  <c r="O54" i="5"/>
  <c r="T54" i="5" s="1"/>
  <c r="A60" i="5"/>
  <c r="B60" i="5" s="1"/>
  <c r="J60" i="3"/>
  <c r="K60" i="3" s="1"/>
  <c r="K61" i="2"/>
  <c r="L60" i="2"/>
  <c r="N55" i="5"/>
  <c r="L55" i="5"/>
  <c r="E51" i="7"/>
  <c r="H69" i="3"/>
  <c r="H70" i="3"/>
  <c r="X57" i="2"/>
  <c r="AO57" i="2"/>
  <c r="AP57" i="2" s="1"/>
  <c r="I57" i="2" s="1"/>
  <c r="I57" i="3" s="1"/>
  <c r="AB56" i="2"/>
  <c r="AA56" i="2"/>
  <c r="Z56" i="2"/>
  <c r="U58" i="2"/>
  <c r="V58" i="2" s="1"/>
  <c r="AO56" i="2"/>
  <c r="AP56" i="2" s="1"/>
  <c r="I56" i="2" s="1"/>
  <c r="I56" i="3" s="1"/>
  <c r="A53" i="7"/>
  <c r="L53" i="3"/>
  <c r="I53" i="4"/>
  <c r="D53" i="2"/>
  <c r="AK53" i="2"/>
  <c r="AL53" i="2" s="1"/>
  <c r="G53" i="2" s="1"/>
  <c r="H53" i="2" s="1"/>
  <c r="G53" i="3" s="1"/>
  <c r="D54" i="7" s="1"/>
  <c r="AE55" i="2"/>
  <c r="AF55" i="2" s="1"/>
  <c r="M59" i="2"/>
  <c r="AS53" i="2"/>
  <c r="J53" i="2" s="1"/>
  <c r="H53" i="3" s="1"/>
  <c r="E54" i="7" s="1"/>
  <c r="Y58" i="2" l="1"/>
  <c r="AN59" i="2"/>
  <c r="Z57" i="2"/>
  <c r="W58" i="2"/>
  <c r="AO58" i="2" s="1"/>
  <c r="AP58" i="2" s="1"/>
  <c r="I58" i="2" s="1"/>
  <c r="I58" i="3" s="1"/>
  <c r="H71" i="3"/>
  <c r="A54" i="7"/>
  <c r="I54" i="4"/>
  <c r="L54" i="3"/>
  <c r="D54" i="2"/>
  <c r="AB58" i="2"/>
  <c r="P60" i="2"/>
  <c r="AM60" i="2"/>
  <c r="R60" i="2"/>
  <c r="Q60" i="2"/>
  <c r="S60" i="2"/>
  <c r="N60" i="2"/>
  <c r="H58" i="5"/>
  <c r="I58" i="5" s="1"/>
  <c r="J58" i="5" s="1"/>
  <c r="F62" i="3"/>
  <c r="C63" i="2"/>
  <c r="F63" i="3" s="1"/>
  <c r="AG55" i="2"/>
  <c r="AH55" i="2" s="1"/>
  <c r="AD56" i="2"/>
  <c r="AC56" i="2"/>
  <c r="O55" i="5"/>
  <c r="Q55" i="5"/>
  <c r="P55" i="5"/>
  <c r="R55" i="5" s="1"/>
  <c r="A61" i="5"/>
  <c r="B61" i="5" s="1"/>
  <c r="J61" i="3"/>
  <c r="K61" i="3" s="1"/>
  <c r="K62" i="2"/>
  <c r="L61" i="2"/>
  <c r="AG54" i="2"/>
  <c r="AH54" i="2" s="1"/>
  <c r="P56" i="5"/>
  <c r="R56" i="5" s="1"/>
  <c r="O56" i="5"/>
  <c r="Q56" i="5"/>
  <c r="E59" i="5"/>
  <c r="F59" i="5" s="1"/>
  <c r="G59" i="5" s="1"/>
  <c r="U59" i="2"/>
  <c r="V59" i="2" s="1"/>
  <c r="O59" i="2"/>
  <c r="W59" i="2" s="1"/>
  <c r="AI59" i="2"/>
  <c r="K57" i="5"/>
  <c r="M60" i="2"/>
  <c r="D60" i="5"/>
  <c r="C60" i="5"/>
  <c r="AC57" i="2"/>
  <c r="AD57" i="2"/>
  <c r="AA58" i="2" l="1"/>
  <c r="X58" i="2"/>
  <c r="Z58" i="2"/>
  <c r="T56" i="5"/>
  <c r="L56" i="3" s="1"/>
  <c r="AN60" i="2"/>
  <c r="M58" i="5"/>
  <c r="S58" i="5" s="1"/>
  <c r="K58" i="5"/>
  <c r="A56" i="7"/>
  <c r="X59" i="2"/>
  <c r="H59" i="5"/>
  <c r="I59" i="5" s="1"/>
  <c r="J59" i="5" s="1"/>
  <c r="AQ55" i="2"/>
  <c r="AR55" i="2"/>
  <c r="T55" i="5"/>
  <c r="AJ55" i="2"/>
  <c r="J62" i="3"/>
  <c r="K62" i="3" s="1"/>
  <c r="K63" i="2"/>
  <c r="A62" i="5"/>
  <c r="B62" i="5" s="1"/>
  <c r="L62" i="2"/>
  <c r="M62" i="2" s="1"/>
  <c r="AE57" i="2"/>
  <c r="AG57" i="2" s="1"/>
  <c r="AH57" i="2" s="1"/>
  <c r="T59" i="2"/>
  <c r="Y59" i="2" s="1"/>
  <c r="AM61" i="2"/>
  <c r="S61" i="2"/>
  <c r="N61" i="2"/>
  <c r="R61" i="2"/>
  <c r="Q61" i="2"/>
  <c r="P61" i="2"/>
  <c r="C61" i="5"/>
  <c r="D61" i="5"/>
  <c r="U60" i="2"/>
  <c r="V60" i="2" s="1"/>
  <c r="O60" i="2"/>
  <c r="T60" i="2" s="1"/>
  <c r="AI60" i="2"/>
  <c r="E60" i="5"/>
  <c r="F60" i="5" s="1"/>
  <c r="G60" i="5" s="1"/>
  <c r="AR54" i="2"/>
  <c r="AQ54" i="2"/>
  <c r="N57" i="5"/>
  <c r="L57" i="5"/>
  <c r="M61" i="2"/>
  <c r="AE56" i="2"/>
  <c r="AG56" i="2" s="1"/>
  <c r="AH56" i="2" s="1"/>
  <c r="AC58" i="2"/>
  <c r="AD58" i="2"/>
  <c r="AJ54" i="2"/>
  <c r="D56" i="2" l="1"/>
  <c r="I56" i="4"/>
  <c r="AS54" i="2"/>
  <c r="J54" i="2" s="1"/>
  <c r="H54" i="3" s="1"/>
  <c r="E55" i="7" s="1"/>
  <c r="Y60" i="2"/>
  <c r="H60" i="5"/>
  <c r="I60" i="5" s="1"/>
  <c r="AQ56" i="2"/>
  <c r="M59" i="5"/>
  <c r="S59" i="5" s="1"/>
  <c r="K59" i="5"/>
  <c r="AQ57" i="2"/>
  <c r="Q57" i="5"/>
  <c r="P57" i="5"/>
  <c r="R57" i="5" s="1"/>
  <c r="O57" i="5"/>
  <c r="E61" i="5"/>
  <c r="F61" i="5" s="1"/>
  <c r="G61" i="5" s="1"/>
  <c r="AN61" i="2"/>
  <c r="AF57" i="2"/>
  <c r="AJ57" i="2" s="1"/>
  <c r="C62" i="5"/>
  <c r="D62" i="5"/>
  <c r="W60" i="2"/>
  <c r="AA60" i="2" s="1"/>
  <c r="AK54" i="2"/>
  <c r="AL54" i="2" s="1"/>
  <c r="G54" i="2" s="1"/>
  <c r="H54" i="2" s="1"/>
  <c r="G54" i="3" s="1"/>
  <c r="D55" i="7" s="1"/>
  <c r="AF56" i="2"/>
  <c r="AJ56" i="2" s="1"/>
  <c r="AA59" i="2"/>
  <c r="Z59" i="2"/>
  <c r="AB59" i="2"/>
  <c r="A63" i="5"/>
  <c r="B63" i="5" s="1"/>
  <c r="J63" i="3"/>
  <c r="K63" i="3" s="1"/>
  <c r="L63" i="2"/>
  <c r="A55" i="7"/>
  <c r="I55" i="4"/>
  <c r="L55" i="3"/>
  <c r="D55" i="2"/>
  <c r="AO59" i="2"/>
  <c r="AP59" i="2" s="1"/>
  <c r="I59" i="2" s="1"/>
  <c r="I59" i="3" s="1"/>
  <c r="AE58" i="2"/>
  <c r="AF58" i="2" s="1"/>
  <c r="N58" i="5"/>
  <c r="L58" i="5"/>
  <c r="T57" i="5"/>
  <c r="AI61" i="2"/>
  <c r="O61" i="2"/>
  <c r="T61" i="2" s="1"/>
  <c r="U61" i="2"/>
  <c r="V61" i="2" s="1"/>
  <c r="R62" i="2"/>
  <c r="N62" i="2"/>
  <c r="P62" i="2"/>
  <c r="S62" i="2"/>
  <c r="AM62" i="2"/>
  <c r="Q62" i="2"/>
  <c r="AK55" i="2"/>
  <c r="AL55" i="2" s="1"/>
  <c r="G55" i="2" s="1"/>
  <c r="H55" i="2" s="1"/>
  <c r="G55" i="3" s="1"/>
  <c r="D56" i="7" s="1"/>
  <c r="AS55" i="2"/>
  <c r="J55" i="2" s="1"/>
  <c r="H55" i="3" s="1"/>
  <c r="E56" i="7" s="1"/>
  <c r="AR57" i="2" l="1"/>
  <c r="Z60" i="2"/>
  <c r="Y61" i="2"/>
  <c r="Z61" i="2" s="1"/>
  <c r="AB60" i="2"/>
  <c r="AD60" i="2" s="1"/>
  <c r="W61" i="2"/>
  <c r="AG58" i="2"/>
  <c r="AH58" i="2" s="1"/>
  <c r="H61" i="5"/>
  <c r="I61" i="5" s="1"/>
  <c r="AB61" i="2"/>
  <c r="U62" i="2"/>
  <c r="V62" i="2" s="1"/>
  <c r="C63" i="5"/>
  <c r="D63" i="5"/>
  <c r="AK56" i="2"/>
  <c r="AL56" i="2" s="1"/>
  <c r="G56" i="2" s="1"/>
  <c r="H56" i="2" s="1"/>
  <c r="G56" i="3" s="1"/>
  <c r="D57" i="7" s="1"/>
  <c r="N59" i="5"/>
  <c r="L59" i="5"/>
  <c r="O62" i="2"/>
  <c r="T62" i="2" s="1"/>
  <c r="AI62" i="2"/>
  <c r="AQ58" i="2"/>
  <c r="AR58" i="2"/>
  <c r="Q63" i="2"/>
  <c r="AM63" i="2"/>
  <c r="AN63" i="2" s="1"/>
  <c r="R63" i="2"/>
  <c r="P63" i="2"/>
  <c r="N63" i="2"/>
  <c r="S63" i="2"/>
  <c r="E62" i="5"/>
  <c r="F62" i="5" s="1"/>
  <c r="G62" i="5" s="1"/>
  <c r="A57" i="7"/>
  <c r="I57" i="4"/>
  <c r="L57" i="3"/>
  <c r="D57" i="2"/>
  <c r="X61" i="2"/>
  <c r="W62" i="2"/>
  <c r="AJ58" i="2"/>
  <c r="M63" i="2"/>
  <c r="AK57" i="2"/>
  <c r="AL57" i="2" s="1"/>
  <c r="G57" i="2" s="1"/>
  <c r="H57" i="2" s="1"/>
  <c r="G57" i="3" s="1"/>
  <c r="D58" i="7" s="1"/>
  <c r="AS57" i="2"/>
  <c r="J57" i="2" s="1"/>
  <c r="H57" i="3" s="1"/>
  <c r="E58" i="7" s="1"/>
  <c r="J60" i="5"/>
  <c r="M60" i="5" s="1"/>
  <c r="S60" i="5" s="1"/>
  <c r="AN62" i="2"/>
  <c r="Q58" i="5"/>
  <c r="P58" i="5"/>
  <c r="R58" i="5" s="1"/>
  <c r="O58" i="5"/>
  <c r="AC59" i="2"/>
  <c r="AD59" i="2"/>
  <c r="X60" i="2"/>
  <c r="AO60" i="2"/>
  <c r="AP60" i="2" s="1"/>
  <c r="I60" i="2" s="1"/>
  <c r="I60" i="3" s="1"/>
  <c r="AR56" i="2"/>
  <c r="AS56" i="2" s="1"/>
  <c r="J56" i="2" s="1"/>
  <c r="H56" i="3" s="1"/>
  <c r="E57" i="7" s="1"/>
  <c r="AC60" i="2" l="1"/>
  <c r="AO61" i="2"/>
  <c r="AP61" i="2" s="1"/>
  <c r="I61" i="2" s="1"/>
  <c r="I61" i="3" s="1"/>
  <c r="AA61" i="2"/>
  <c r="Y62" i="2"/>
  <c r="AO62" i="2" s="1"/>
  <c r="AP62" i="2" s="1"/>
  <c r="I62" i="2" s="1"/>
  <c r="I62" i="3" s="1"/>
  <c r="T58" i="5"/>
  <c r="I58" i="4" s="1"/>
  <c r="H62" i="5"/>
  <c r="I62" i="5" s="1"/>
  <c r="J62" i="5" s="1"/>
  <c r="M62" i="5" s="1"/>
  <c r="S62" i="5" s="1"/>
  <c r="AA62" i="2"/>
  <c r="X62" i="2"/>
  <c r="U63" i="2"/>
  <c r="V63" i="2" s="1"/>
  <c r="O59" i="5"/>
  <c r="Q59" i="5"/>
  <c r="P59" i="5"/>
  <c r="R59" i="5" s="1"/>
  <c r="E63" i="5"/>
  <c r="F63" i="5" s="1"/>
  <c r="G63" i="5" s="1"/>
  <c r="AE60" i="2"/>
  <c r="AF60" i="2" s="1"/>
  <c r="L58" i="3"/>
  <c r="J61" i="5"/>
  <c r="M61" i="5" s="1"/>
  <c r="S61" i="5" s="1"/>
  <c r="AI63" i="2"/>
  <c r="O63" i="2"/>
  <c r="W63" i="2" s="1"/>
  <c r="AE59" i="2"/>
  <c r="AF59" i="2" s="1"/>
  <c r="AK58" i="2"/>
  <c r="AL58" i="2" s="1"/>
  <c r="G58" i="2" s="1"/>
  <c r="H58" i="2" s="1"/>
  <c r="G58" i="3" s="1"/>
  <c r="D59" i="7" s="1"/>
  <c r="AS58" i="2"/>
  <c r="J58" i="2" s="1"/>
  <c r="H58" i="3" s="1"/>
  <c r="E59" i="7" s="1"/>
  <c r="AD61" i="2"/>
  <c r="AC61" i="2"/>
  <c r="K60" i="5"/>
  <c r="Z62" i="2" l="1"/>
  <c r="AB62" i="2"/>
  <c r="D58" i="2"/>
  <c r="AG60" i="2"/>
  <c r="AH60" i="2" s="1"/>
  <c r="AJ60" i="2" s="1"/>
  <c r="AK60" i="2" s="1"/>
  <c r="AL60" i="2" s="1"/>
  <c r="G60" i="2" s="1"/>
  <c r="H60" i="2" s="1"/>
  <c r="G60" i="3" s="1"/>
  <c r="D61" i="7" s="1"/>
  <c r="A58" i="7"/>
  <c r="K61" i="5"/>
  <c r="N61" i="5" s="1"/>
  <c r="K62" i="5"/>
  <c r="N62" i="5" s="1"/>
  <c r="X63" i="2"/>
  <c r="H63" i="5"/>
  <c r="I63" i="5" s="1"/>
  <c r="J63" i="5" s="1"/>
  <c r="T63" i="2"/>
  <c r="Y63" i="2" s="1"/>
  <c r="AG59" i="2"/>
  <c r="AH59" i="2" s="1"/>
  <c r="L61" i="5"/>
  <c r="AE61" i="2"/>
  <c r="AF61" i="2" s="1"/>
  <c r="L60" i="5"/>
  <c r="N60" i="5"/>
  <c r="T59" i="5"/>
  <c r="AC62" i="2"/>
  <c r="AD62" i="2"/>
  <c r="AR60" i="2" l="1"/>
  <c r="AQ60" i="2"/>
  <c r="L62" i="5"/>
  <c r="M63" i="5"/>
  <c r="S63" i="5" s="1"/>
  <c r="K63" i="5"/>
  <c r="AR59" i="2"/>
  <c r="AQ59" i="2"/>
  <c r="AS59" i="2" s="1"/>
  <c r="J59" i="2" s="1"/>
  <c r="H59" i="3" s="1"/>
  <c r="E60" i="7" s="1"/>
  <c r="AB63" i="2"/>
  <c r="AA63" i="2"/>
  <c r="Z63" i="2"/>
  <c r="AG61" i="2"/>
  <c r="AH61" i="2" s="1"/>
  <c r="AJ61" i="2" s="1"/>
  <c r="AE62" i="2"/>
  <c r="AF62" i="2" s="1"/>
  <c r="O60" i="5"/>
  <c r="P60" i="5"/>
  <c r="R60" i="5" s="1"/>
  <c r="Q60" i="5"/>
  <c r="AS60" i="2"/>
  <c r="J60" i="2" s="1"/>
  <c r="H60" i="3" s="1"/>
  <c r="E61" i="7" s="1"/>
  <c r="O62" i="5"/>
  <c r="Q62" i="5"/>
  <c r="P62" i="5"/>
  <c r="R62" i="5" s="1"/>
  <c r="AO63" i="2"/>
  <c r="AP63" i="2" s="1"/>
  <c r="I63" i="2" s="1"/>
  <c r="I63" i="3" s="1"/>
  <c r="A59" i="7"/>
  <c r="I59" i="4"/>
  <c r="L59" i="3"/>
  <c r="D59" i="2"/>
  <c r="O61" i="5"/>
  <c r="Q61" i="5"/>
  <c r="P61" i="5"/>
  <c r="R61" i="5" s="1"/>
  <c r="AJ59" i="2"/>
  <c r="AG62" i="2" l="1"/>
  <c r="AH62" i="2" s="1"/>
  <c r="T61" i="5"/>
  <c r="A61" i="7" s="1"/>
  <c r="T60" i="5"/>
  <c r="A60" i="7" s="1"/>
  <c r="AK61" i="2"/>
  <c r="AL61" i="2" s="1"/>
  <c r="G61" i="2" s="1"/>
  <c r="H61" i="2" s="1"/>
  <c r="G61" i="3" s="1"/>
  <c r="D62" i="7" s="1"/>
  <c r="I61" i="4"/>
  <c r="D61" i="2"/>
  <c r="D60" i="2"/>
  <c r="T62" i="5"/>
  <c r="AJ62" i="2"/>
  <c r="AR61" i="2"/>
  <c r="AQ61" i="2"/>
  <c r="AS61" i="2" s="1"/>
  <c r="J61" i="2" s="1"/>
  <c r="H61" i="3" s="1"/>
  <c r="E62" i="7" s="1"/>
  <c r="AK59" i="2"/>
  <c r="AL59" i="2" s="1"/>
  <c r="G59" i="2" s="1"/>
  <c r="H59" i="2" s="1"/>
  <c r="G59" i="3" s="1"/>
  <c r="D60" i="7" s="1"/>
  <c r="N63" i="5"/>
  <c r="L63" i="5"/>
  <c r="AR62" i="2"/>
  <c r="AQ62" i="2"/>
  <c r="AC63" i="2"/>
  <c r="AD63" i="2"/>
  <c r="L61" i="3" l="1"/>
  <c r="L60" i="3"/>
  <c r="I60" i="4"/>
  <c r="AS62" i="2"/>
  <c r="J62" i="2" s="1"/>
  <c r="H62" i="3" s="1"/>
  <c r="E63" i="7" s="1"/>
  <c r="AK62" i="2"/>
  <c r="AL62" i="2" s="1"/>
  <c r="G62" i="2" s="1"/>
  <c r="H62" i="2" s="1"/>
  <c r="G62" i="3" s="1"/>
  <c r="D63" i="7" s="1"/>
  <c r="AE63" i="2"/>
  <c r="AG63" i="2" s="1"/>
  <c r="AH63" i="2" s="1"/>
  <c r="A62" i="7"/>
  <c r="I62" i="4"/>
  <c r="L62" i="3"/>
  <c r="D62" i="2"/>
  <c r="O63" i="5"/>
  <c r="P63" i="5"/>
  <c r="R63" i="5" s="1"/>
  <c r="Q63" i="5"/>
  <c r="AF63" i="2" l="1"/>
  <c r="AJ63" i="2" s="1"/>
  <c r="T63" i="5"/>
  <c r="I63" i="4" s="1"/>
  <c r="AK63" i="2"/>
  <c r="AL63" i="2" s="1"/>
  <c r="G63" i="2" s="1"/>
  <c r="H63" i="2" s="1"/>
  <c r="G63" i="3" s="1"/>
  <c r="AQ63" i="2"/>
  <c r="AS63" i="2" s="1"/>
  <c r="J63" i="2" s="1"/>
  <c r="H63" i="3" s="1"/>
  <c r="AR63" i="2"/>
  <c r="A63" i="7" l="1"/>
  <c r="I3" i="7" s="1"/>
  <c r="L63" i="3"/>
  <c r="D63" i="2"/>
</calcChain>
</file>

<file path=xl/sharedStrings.xml><?xml version="1.0" encoding="utf-8"?>
<sst xmlns="http://schemas.openxmlformats.org/spreadsheetml/2006/main" count="114" uniqueCount="88">
  <si>
    <t>Date</t>
  </si>
  <si>
    <t>Month</t>
  </si>
  <si>
    <t>Year</t>
  </si>
  <si>
    <t>Lat.</t>
  </si>
  <si>
    <t>Long.</t>
  </si>
  <si>
    <t>UT h</t>
  </si>
  <si>
    <t>min</t>
  </si>
  <si>
    <t>UT</t>
  </si>
  <si>
    <t>J. Giesen</t>
  </si>
  <si>
    <t>GeoAstro.de/</t>
  </si>
  <si>
    <t>moonanalemma</t>
  </si>
  <si>
    <t>Go to ‚Analemma1’ or ‚Analemma2‘ for details.</t>
  </si>
  <si>
    <r>
      <rPr>
        <sz val="10"/>
        <color rgb="FF000000"/>
        <rFont val="Liberation Sans1"/>
      </rPr>
      <t xml:space="preserve">Astronomical algorithms by </t>
    </r>
    <r>
      <rPr>
        <b/>
        <sz val="10"/>
        <color rgb="FF000000"/>
        <rFont val="Liberation Sans1"/>
      </rPr>
      <t>Jean Meeus</t>
    </r>
  </si>
  <si>
    <t>Full</t>
  </si>
  <si>
    <t>(=PI()/180)</t>
  </si>
  <si>
    <t>elev</t>
  </si>
  <si>
    <t>elevRefr</t>
  </si>
  <si>
    <t>ill frac/%</t>
  </si>
  <si>
    <t>az</t>
  </si>
  <si>
    <t>JD</t>
  </si>
  <si>
    <t>T</t>
  </si>
  <si>
    <t>LST</t>
  </si>
  <si>
    <t>L0</t>
  </si>
  <si>
    <t>DL</t>
  </si>
  <si>
    <t>L</t>
  </si>
  <si>
    <t>LS</t>
  </si>
  <si>
    <t>D</t>
  </si>
  <si>
    <t>F</t>
  </si>
  <si>
    <t>S</t>
  </si>
  <si>
    <t>H</t>
  </si>
  <si>
    <t>N</t>
  </si>
  <si>
    <t>Lmoon</t>
  </si>
  <si>
    <t>Lm</t>
  </si>
  <si>
    <t>Bmoon</t>
  </si>
  <si>
    <t>X</t>
  </si>
  <si>
    <t>V</t>
  </si>
  <si>
    <t>W</t>
  </si>
  <si>
    <t>Y</t>
  </si>
  <si>
    <t>Z</t>
  </si>
  <si>
    <t>RHO</t>
  </si>
  <si>
    <t>DEC</t>
  </si>
  <si>
    <t>RA</t>
  </si>
  <si>
    <t>LHA</t>
  </si>
  <si>
    <t>equ hor par</t>
  </si>
  <si>
    <t>elev1</t>
  </si>
  <si>
    <t>par</t>
  </si>
  <si>
    <t>elev1-par</t>
  </si>
  <si>
    <t>Lsun</t>
  </si>
  <si>
    <t>theta</t>
  </si>
  <si>
    <t>d</t>
  </si>
  <si>
    <t>i</t>
  </si>
  <si>
    <t>arctan(2;1)</t>
  </si>
  <si>
    <t xml:space="preserve"> Don‘t edit</t>
  </si>
  <si>
    <t>cell !</t>
  </si>
  <si>
    <t xml:space="preserve"> Go to</t>
  </si>
  <si>
    <t>'input’</t>
  </si>
  <si>
    <t>max:</t>
  </si>
  <si>
    <t>min:</t>
  </si>
  <si>
    <t>∆az</t>
  </si>
  <si>
    <t>∆t/d</t>
  </si>
  <si>
    <t>year   d-m         UT</t>
  </si>
  <si>
    <t xml:space="preserve"> Don‘t edit any cell.</t>
  </si>
  <si>
    <t xml:space="preserve"> Go to ‚input‘.</t>
  </si>
  <si>
    <t>∆t</t>
  </si>
  <si>
    <t>RA / h</t>
  </si>
  <si>
    <t>RA / °</t>
  </si>
  <si>
    <t xml:space="preserve">  y     m  d       UT</t>
  </si>
  <si>
    <t>∆RA</t>
  </si>
  <si>
    <t>JD+0,5</t>
  </si>
  <si>
    <t>A(?)</t>
  </si>
  <si>
    <t>A</t>
  </si>
  <si>
    <t>B</t>
  </si>
  <si>
    <t>C</t>
  </si>
  <si>
    <t>E</t>
  </si>
  <si>
    <t>day</t>
  </si>
  <si>
    <t>month</t>
  </si>
  <si>
    <t>h</t>
  </si>
  <si>
    <t>m</t>
  </si>
  <si>
    <t>s</t>
  </si>
  <si>
    <t>year</t>
  </si>
  <si>
    <t>illum.</t>
  </si>
  <si>
    <t>dat</t>
  </si>
  <si>
    <t>begin</t>
  </si>
  <si>
    <t>end</t>
  </si>
  <si>
    <t>∆az/°</t>
  </si>
  <si>
    <t>(13)  2020  04-07</t>
  </si>
  <si>
    <t>∆t / d</t>
  </si>
  <si>
    <t>Edit  gray cells only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</si>
</sst>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\-mm\-dd"/>
    <numFmt numFmtId="165" formatCode="0.000000"/>
    <numFmt numFmtId="166" formatCode="0.0000"/>
    <numFmt numFmtId="167" formatCode="0.000"/>
    <numFmt numFmtId="168" formatCode="#,##0.000"/>
    <numFmt numFmtId="169" formatCode="#,##0.0000"/>
    <numFmt numFmtId="170" formatCode="0.0"/>
  </numFmts>
  <fonts count="23">
    <font>
      <sz val="12"/>
      <color rgb="FF000000"/>
      <name val="Liberation Sans1"/>
    </font>
    <font>
      <b/>
      <sz val="12"/>
      <color rgb="FFFF0000"/>
      <name val="Liberation Sans1"/>
    </font>
    <font>
      <b/>
      <sz val="12"/>
      <color rgb="FF000000"/>
      <name val="Liberation Sans1"/>
    </font>
    <font>
      <sz val="12"/>
      <color rgb="FFFF0000"/>
      <name val="Liberation Sans1"/>
    </font>
    <font>
      <sz val="10"/>
      <color rgb="FF000000"/>
      <name val="Liberation Sans1"/>
    </font>
    <font>
      <b/>
      <sz val="11"/>
      <color rgb="FF000000"/>
      <name val="Liberation Sans1"/>
    </font>
    <font>
      <b/>
      <sz val="11"/>
      <color rgb="FFFF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b/>
      <sz val="12"/>
      <color rgb="FF0000FF"/>
      <name val="Liberation Sans1"/>
    </font>
    <font>
      <b/>
      <sz val="12"/>
      <color rgb="FF5C8526"/>
      <name val="Liberation Sans1"/>
    </font>
    <font>
      <sz val="11"/>
      <color rgb="FF0000FF"/>
      <name val="Liberation Sans1"/>
    </font>
    <font>
      <b/>
      <sz val="11"/>
      <color rgb="FF0000FF"/>
      <name val="Liberation Sans1"/>
    </font>
    <font>
      <b/>
      <sz val="13"/>
      <color rgb="FFFF0000"/>
      <name val="Arial"/>
      <family val="2"/>
    </font>
    <font>
      <sz val="12"/>
      <color rgb="FF0000FF"/>
      <name val="Liberation Sans1"/>
    </font>
    <font>
      <sz val="11"/>
      <color rgb="FFFF0000"/>
      <name val="Liberation Sans1"/>
    </font>
    <font>
      <b/>
      <sz val="12"/>
      <color rgb="FF00AE00"/>
      <name val="Liberation Sans1"/>
    </font>
    <font>
      <b/>
      <sz val="12"/>
      <color rgb="FFFF00FF"/>
      <name val="Liberation Sans1"/>
    </font>
    <font>
      <sz val="12"/>
      <color rgb="FF000000"/>
      <name val="Liberation Sans1"/>
    </font>
    <font>
      <b/>
      <sz val="11"/>
      <color theme="9"/>
      <name val="Liberation Sans1"/>
    </font>
    <font>
      <sz val="10"/>
      <color rgb="FFFF0000"/>
      <name val="Liberation Sans1"/>
    </font>
    <font>
      <sz val="11"/>
      <color rgb="FF0070C0"/>
      <name val="Liberation Sans1"/>
    </font>
    <font>
      <b/>
      <sz val="11"/>
      <color rgb="FFFF00FF"/>
      <name val="Liberation Sans1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4">
    <border>
      <left/>
      <right/>
      <top/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8" fillId="0" borderId="0" applyBorder="0" applyProtection="0"/>
  </cellStyleXfs>
  <cellXfs count="99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4" fontId="7" fillId="0" borderId="0" xfId="0" applyNumberFormat="1" applyFont="1"/>
    <xf numFmtId="2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2" fontId="7" fillId="0" borderId="0" xfId="0" applyNumberFormat="1" applyFont="1"/>
    <xf numFmtId="165" fontId="7" fillId="0" borderId="0" xfId="0" applyNumberFormat="1" applyFont="1"/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7" fontId="7" fillId="0" borderId="0" xfId="0" applyNumberFormat="1" applyFont="1"/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5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4" fontId="14" fillId="0" borderId="0" xfId="0" applyNumberFormat="1" applyFont="1" applyAlignment="1">
      <alignment horizontal="center"/>
    </xf>
    <xf numFmtId="0" fontId="13" fillId="0" borderId="0" xfId="0" applyFont="1"/>
    <xf numFmtId="2" fontId="15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left"/>
    </xf>
    <xf numFmtId="168" fontId="1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  <xf numFmtId="0" fontId="3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4" fillId="0" borderId="0" xfId="0" applyFont="1"/>
    <xf numFmtId="0" fontId="17" fillId="0" borderId="0" xfId="0" applyFont="1"/>
    <xf numFmtId="0" fontId="0" fillId="0" borderId="0" xfId="0" applyFont="1"/>
    <xf numFmtId="0" fontId="17" fillId="0" borderId="0" xfId="0" applyFont="1" applyAlignment="1">
      <alignment horizontal="left"/>
    </xf>
    <xf numFmtId="4" fontId="15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Standard" xfId="0" builtinId="0"/>
    <cellStyle name="Überschrift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E00"/>
      <rgbColor rgb="FF000080"/>
      <rgbColor rgb="FF5C8526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5328238755360506E-2"/>
          <c:y val="4.2983191095234165E-2"/>
          <c:w val="0.84183093964663813"/>
          <c:h val="0.86983007157648173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FF0000"/>
              </a:solidFill>
              <a:round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Pt>
            <c:idx val="0"/>
            <c:marker>
              <c:symbol val="square"/>
              <c:size val="9"/>
              <c:spPr>
                <a:solidFill>
                  <a:srgbClr val="0000FF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D70-C449-AE09-2B25F6F1E9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70-C449-AE09-2B25F6F1E9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2D70-C449-AE09-2B25F6F1E9C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2D70-C449-AE09-2B25F6F1E9C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2D70-C449-AE09-2B25F6F1E9C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2D70-C449-AE09-2B25F6F1E9C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2D70-C449-AE09-2B25F6F1E9C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2D70-C449-AE09-2B25F6F1E9C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2D70-C449-AE09-2B25F6F1E9C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2D70-C449-AE09-2B25F6F1E9C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2D70-C449-AE09-2B25F6F1E9C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2D70-C449-AE09-2B25F6F1E9C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C-2D70-C449-AE09-2B25F6F1E9C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2D70-C449-AE09-2B25F6F1E9C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2D70-C449-AE09-2B25F6F1E9C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2D70-C449-AE09-2B25F6F1E9C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0-2D70-C449-AE09-2B25F6F1E9C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1-2D70-C449-AE09-2B25F6F1E9C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2-2D70-C449-AE09-2B25F6F1E9C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3-2D70-C449-AE09-2B25F6F1E9C5}"/>
              </c:ext>
            </c:extLst>
          </c:dPt>
          <c:dPt>
            <c:idx val="30"/>
            <c:marker>
              <c:symbol val="square"/>
              <c:size val="9"/>
              <c:spPr>
                <a:solidFill>
                  <a:srgbClr val="00AE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2D70-C449-AE09-2B25F6F1E9C5}"/>
              </c:ext>
            </c:extLst>
          </c:dPt>
          <c:xVal>
            <c:numRef>
              <c:f>Analemma1!$E$3:$E$33</c:f>
              <c:numCache>
                <c:formatCode>#,##0.00</c:formatCode>
                <c:ptCount val="31"/>
                <c:pt idx="0">
                  <c:v>180.32002311537519</c:v>
                </c:pt>
                <c:pt idx="1">
                  <c:v>183.54859671035501</c:v>
                </c:pt>
                <c:pt idx="2">
                  <c:v>186.51301956798125</c:v>
                </c:pt>
                <c:pt idx="3">
                  <c:v>188.75936624232327</c:v>
                </c:pt>
                <c:pt idx="4">
                  <c:v>189.78060842918586</c:v>
                </c:pt>
                <c:pt idx="5">
                  <c:v>189.19037883214651</c:v>
                </c:pt>
                <c:pt idx="6">
                  <c:v>187.01136348762321</c:v>
                </c:pt>
                <c:pt idx="7">
                  <c:v>183.85860002793061</c:v>
                </c:pt>
                <c:pt idx="8">
                  <c:v>180.68008057037616</c:v>
                </c:pt>
                <c:pt idx="9">
                  <c:v>178.18722453189093</c:v>
                </c:pt>
                <c:pt idx="10">
                  <c:v>176.56241252853619</c:v>
                </c:pt>
                <c:pt idx="11">
                  <c:v>175.5979843604992</c:v>
                </c:pt>
                <c:pt idx="12">
                  <c:v>174.95309474666089</c:v>
                </c:pt>
                <c:pt idx="13">
                  <c:v>174.32136616333668</c:v>
                </c:pt>
                <c:pt idx="14">
                  <c:v>173.50376878185864</c:v>
                </c:pt>
                <c:pt idx="15">
                  <c:v>172.43045433374959</c:v>
                </c:pt>
                <c:pt idx="16">
                  <c:v>171.15510521923903</c:v>
                </c:pt>
                <c:pt idx="17">
                  <c:v>169.8270394319668</c:v>
                </c:pt>
                <c:pt idx="18">
                  <c:v>168.64533764563157</c:v>
                </c:pt>
                <c:pt idx="19">
                  <c:v>167.80802553697742</c:v>
                </c:pt>
                <c:pt idx="20">
                  <c:v>167.47326706743178</c:v>
                </c:pt>
                <c:pt idx="21">
                  <c:v>167.74162990189274</c:v>
                </c:pt>
                <c:pt idx="22">
                  <c:v>168.65599946964238</c:v>
                </c:pt>
                <c:pt idx="23">
                  <c:v>170.20901106972894</c:v>
                </c:pt>
                <c:pt idx="24">
                  <c:v>172.34882882474722</c:v>
                </c:pt>
                <c:pt idx="25">
                  <c:v>174.97820020143723</c:v>
                </c:pt>
                <c:pt idx="26">
                  <c:v>177.94527766741521</c:v>
                </c:pt>
                <c:pt idx="27">
                  <c:v>181.02758744084286</c:v>
                </c:pt>
                <c:pt idx="28">
                  <c:v>183.91519526438947</c:v>
                </c:pt>
                <c:pt idx="29">
                  <c:v>186.20934776934183</c:v>
                </c:pt>
                <c:pt idx="30">
                  <c:v>187.4706347786763</c:v>
                </c:pt>
              </c:numCache>
            </c:numRef>
          </c:xVal>
          <c:yVal>
            <c:numRef>
              <c:f>Analemma1!$D$3:$D$33</c:f>
              <c:numCache>
                <c:formatCode>0.00</c:formatCode>
                <c:ptCount val="31"/>
                <c:pt idx="0">
                  <c:v>46.586159553269994</c:v>
                </c:pt>
                <c:pt idx="1">
                  <c:v>51.155070437167197</c:v>
                </c:pt>
                <c:pt idx="2">
                  <c:v>55.222071777594643</c:v>
                </c:pt>
                <c:pt idx="3">
                  <c:v>58.63072590063453</c:v>
                </c:pt>
                <c:pt idx="4">
                  <c:v>61.214018842797415</c:v>
                </c:pt>
                <c:pt idx="5">
                  <c:v>62.771133710177409</c:v>
                </c:pt>
                <c:pt idx="6">
                  <c:v>63.067272121959071</c:v>
                </c:pt>
                <c:pt idx="7">
                  <c:v>61.892140394452973</c:v>
                </c:pt>
                <c:pt idx="8">
                  <c:v>59.163313054658886</c:v>
                </c:pt>
                <c:pt idx="9">
                  <c:v>54.990434146296117</c:v>
                </c:pt>
                <c:pt idx="10">
                  <c:v>49.653797307909109</c:v>
                </c:pt>
                <c:pt idx="11">
                  <c:v>43.543669552669542</c:v>
                </c:pt>
                <c:pt idx="12">
                  <c:v>37.109092054110313</c:v>
                </c:pt>
                <c:pt idx="13">
                  <c:v>30.819964957703601</c:v>
                </c:pt>
                <c:pt idx="14">
                  <c:v>25.130027243221662</c:v>
                </c:pt>
                <c:pt idx="15">
                  <c:v>20.435202712599029</c:v>
                </c:pt>
                <c:pt idx="16">
                  <c:v>17.032165052502602</c:v>
                </c:pt>
                <c:pt idx="17">
                  <c:v>15.088960300867072</c:v>
                </c:pt>
                <c:pt idx="18">
                  <c:v>14.639492881537475</c:v>
                </c:pt>
                <c:pt idx="19">
                  <c:v>15.603568310205198</c:v>
                </c:pt>
                <c:pt idx="20">
                  <c:v>17.820394126533916</c:v>
                </c:pt>
                <c:pt idx="21">
                  <c:v>21.081481843393366</c:v>
                </c:pt>
                <c:pt idx="22">
                  <c:v>25.156510028613368</c:v>
                </c:pt>
                <c:pt idx="23">
                  <c:v>29.810661574355816</c:v>
                </c:pt>
                <c:pt idx="24">
                  <c:v>34.814639590779279</c:v>
                </c:pt>
                <c:pt idx="25">
                  <c:v>39.949969039943042</c:v>
                </c:pt>
                <c:pt idx="26">
                  <c:v>45.011565682502095</c:v>
                </c:pt>
                <c:pt idx="27">
                  <c:v>49.808103589306263</c:v>
                </c:pt>
                <c:pt idx="28">
                  <c:v>54.159472650360456</c:v>
                </c:pt>
                <c:pt idx="29">
                  <c:v>57.889922943576622</c:v>
                </c:pt>
                <c:pt idx="30">
                  <c:v>60.816530441028974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70-C449-AE09-2B25F6F1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69250"/>
        <c:axId val="16136040"/>
      </c:scatterChart>
      <c:valAx>
        <c:axId val="30469250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sz="1000" b="1" strike="noStrike" spc="-1">
                    <a:latin typeface="Arial"/>
                  </a:defRPr>
                </a:pPr>
                <a:r>
                  <a:rPr lang="de-DE" sz="1000" b="1" strike="noStrike" spc="-1">
                    <a:latin typeface="Arial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85537692515536301"/>
              <c:y val="0.85305628691382596"/>
            </c:manualLayout>
          </c:layout>
          <c:overlay val="0"/>
          <c:spPr>
            <a:noFill/>
            <a:ln w="0">
              <a:noFill/>
            </a:ln>
          </c:spPr>
        </c:title>
        <c:numFmt formatCode="#,###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6136040"/>
        <c:crosses val="autoZero"/>
        <c:crossBetween val="midCat"/>
      </c:valAx>
      <c:valAx>
        <c:axId val="1613604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sz="1000" b="1" strike="noStrike" spc="-1">
                    <a:latin typeface="Arial"/>
                  </a:defRPr>
                </a:pPr>
                <a:r>
                  <a:rPr lang="de-DE" sz="1000" b="1" strike="noStrike" spc="-1">
                    <a:latin typeface="Arial"/>
                  </a:rPr>
                  <a:t>elev</a:t>
                </a:r>
              </a:p>
            </c:rich>
          </c:tx>
          <c:layout>
            <c:manualLayout>
              <c:xMode val="edge"/>
              <c:yMode val="edge"/>
              <c:x val="0.15455282356120001"/>
              <c:y val="0.10268270120259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30469250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9270467441201"/>
          <c:y val="6.34028321354871E-2"/>
          <c:w val="0.81052418265333703"/>
          <c:h val="0.85383903792784499"/>
        </c:manualLayout>
      </c:layout>
      <c:scatterChart>
        <c:scatterStyle val="lineMarker"/>
        <c:varyColors val="0"/>
        <c:ser>
          <c:idx val="0"/>
          <c:order val="0"/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6350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square"/>
              <c:size val="9"/>
            </c:marker>
            <c:bubble3D val="0"/>
            <c:spPr>
              <a:ln w="38100" cap="rnd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7E9-E140-9092-CB80BC28C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E9-E140-9092-CB80BC28CB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7E9-E140-9092-CB80BC28CB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E7E9-E140-9092-CB80BC28CBA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E7E9-E140-9092-CB80BC28CBA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E7E9-E140-9092-CB80BC28CBA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E7E9-E140-9092-CB80BC28CBA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E7E9-E140-9092-CB80BC28CBA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E7E9-E140-9092-CB80BC28CBA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E7E9-E140-9092-CB80BC28CBA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E7E9-E140-9092-CB80BC28CBA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E7E9-E140-9092-CB80BC28CBA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C-E7E9-E140-9092-CB80BC28CBA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E7E9-E140-9092-CB80BC28CBA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E7E9-E140-9092-CB80BC28CBA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E7E9-E140-9092-CB80BC28CBA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0-E7E9-E140-9092-CB80BC28CBA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1-E7E9-E140-9092-CB80BC28CBA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2-E7E9-E140-9092-CB80BC28CB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3-E7E9-E140-9092-CB80BC28CBA5}"/>
              </c:ext>
            </c:extLst>
          </c:dPt>
          <c:dPt>
            <c:idx val="30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14-E7E9-E140-9092-CB80BC28CBA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5-E7E9-E140-9092-CB80BC28CBA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16-E7E9-E140-9092-CB80BC28CBA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7-E7E9-E140-9092-CB80BC28CBA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18-E7E9-E140-9092-CB80BC28CBA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19-E7E9-E140-9092-CB80BC28CBA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A-E7E9-E140-9092-CB80BC28CBA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1B-E7E9-E140-9092-CB80BC28CBA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1C-E7E9-E140-9092-CB80BC28CBA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1D-E7E9-E140-9092-CB80BC28CBA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E-E7E9-E140-9092-CB80BC28CBA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1F-E7E9-E140-9092-CB80BC28CBA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0-E7E9-E140-9092-CB80BC28CBA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1-E7E9-E140-9092-CB80BC28CBA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2-E7E9-E140-9092-CB80BC28CBA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3-E7E9-E140-9092-CB80BC28CBA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4-E7E9-E140-9092-CB80BC28CBA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5-E7E9-E140-9092-CB80BC28CBA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26-E7E9-E140-9092-CB80BC28CBA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27-E7E9-E140-9092-CB80BC28CBA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28-E7E9-E140-9092-CB80BC28CBA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29-E7E9-E140-9092-CB80BC28CBA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2A-E7E9-E140-9092-CB80BC28CBA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2B-E7E9-E140-9092-CB80BC28CBA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2C-E7E9-E140-9092-CB80BC28CBA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2D-E7E9-E140-9092-CB80BC28CBA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2E-E7E9-E140-9092-CB80BC28CBA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2F-E7E9-E140-9092-CB80BC28CBA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0-E7E9-E140-9092-CB80BC28CBA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1-E7E9-E140-9092-CB80BC28CBA5}"/>
              </c:ext>
            </c:extLst>
          </c:dPt>
          <c:dPt>
            <c:idx val="60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32-E7E9-E140-9092-CB80BC28CBA5}"/>
              </c:ext>
            </c:extLst>
          </c:dPt>
          <c:xVal>
            <c:numRef>
              <c:f>Analemma2!$E$3:$E$33</c:f>
              <c:numCache>
                <c:formatCode>#,##0.00</c:formatCode>
                <c:ptCount val="31"/>
                <c:pt idx="0">
                  <c:v>180.32002311537519</c:v>
                </c:pt>
                <c:pt idx="1">
                  <c:v>183.54859671035501</c:v>
                </c:pt>
                <c:pt idx="2">
                  <c:v>186.51301956798125</c:v>
                </c:pt>
                <c:pt idx="3">
                  <c:v>188.75936624232327</c:v>
                </c:pt>
                <c:pt idx="4">
                  <c:v>189.78060842918586</c:v>
                </c:pt>
                <c:pt idx="5">
                  <c:v>189.19037883214651</c:v>
                </c:pt>
                <c:pt idx="6">
                  <c:v>187.01136348762321</c:v>
                </c:pt>
                <c:pt idx="7">
                  <c:v>183.85860002793061</c:v>
                </c:pt>
                <c:pt idx="8">
                  <c:v>180.68008057037616</c:v>
                </c:pt>
                <c:pt idx="9">
                  <c:v>178.18722453189093</c:v>
                </c:pt>
                <c:pt idx="10">
                  <c:v>176.56241252853619</c:v>
                </c:pt>
                <c:pt idx="11">
                  <c:v>175.5979843604992</c:v>
                </c:pt>
                <c:pt idx="12">
                  <c:v>174.95309474666089</c:v>
                </c:pt>
                <c:pt idx="13">
                  <c:v>174.32136616333668</c:v>
                </c:pt>
                <c:pt idx="14">
                  <c:v>173.50376878185864</c:v>
                </c:pt>
                <c:pt idx="15">
                  <c:v>172.43045433374959</c:v>
                </c:pt>
                <c:pt idx="16">
                  <c:v>171.15510521923903</c:v>
                </c:pt>
                <c:pt idx="17">
                  <c:v>169.8270394319668</c:v>
                </c:pt>
                <c:pt idx="18">
                  <c:v>168.64533764563157</c:v>
                </c:pt>
                <c:pt idx="19">
                  <c:v>167.80802553697742</c:v>
                </c:pt>
                <c:pt idx="20">
                  <c:v>167.47326706743178</c:v>
                </c:pt>
                <c:pt idx="21">
                  <c:v>167.74162990189274</c:v>
                </c:pt>
                <c:pt idx="22">
                  <c:v>168.65599946964238</c:v>
                </c:pt>
                <c:pt idx="23">
                  <c:v>170.20901106972894</c:v>
                </c:pt>
                <c:pt idx="24">
                  <c:v>172.34882882474722</c:v>
                </c:pt>
                <c:pt idx="25">
                  <c:v>174.97820020143723</c:v>
                </c:pt>
                <c:pt idx="26">
                  <c:v>177.94527766741521</c:v>
                </c:pt>
                <c:pt idx="27">
                  <c:v>181.02758744084286</c:v>
                </c:pt>
                <c:pt idx="28">
                  <c:v>183.91519526438947</c:v>
                </c:pt>
                <c:pt idx="29">
                  <c:v>186.20934776934183</c:v>
                </c:pt>
                <c:pt idx="30">
                  <c:v>187.4706347786763</c:v>
                </c:pt>
              </c:numCache>
            </c:numRef>
          </c:xVal>
          <c:yVal>
            <c:numRef>
              <c:f>Analemma2!$D$3:$D$33</c:f>
              <c:numCache>
                <c:formatCode>0.00</c:formatCode>
                <c:ptCount val="31"/>
                <c:pt idx="0">
                  <c:v>46.586159553269994</c:v>
                </c:pt>
                <c:pt idx="1">
                  <c:v>51.155070437167197</c:v>
                </c:pt>
                <c:pt idx="2">
                  <c:v>55.222071777594643</c:v>
                </c:pt>
                <c:pt idx="3">
                  <c:v>58.63072590063453</c:v>
                </c:pt>
                <c:pt idx="4">
                  <c:v>61.214018842797415</c:v>
                </c:pt>
                <c:pt idx="5">
                  <c:v>62.771133710177409</c:v>
                </c:pt>
                <c:pt idx="6">
                  <c:v>63.067272121959071</c:v>
                </c:pt>
                <c:pt idx="7">
                  <c:v>61.892140394452973</c:v>
                </c:pt>
                <c:pt idx="8">
                  <c:v>59.163313054658886</c:v>
                </c:pt>
                <c:pt idx="9">
                  <c:v>54.990434146296117</c:v>
                </c:pt>
                <c:pt idx="10">
                  <c:v>49.653797307909109</c:v>
                </c:pt>
                <c:pt idx="11">
                  <c:v>43.543669552669542</c:v>
                </c:pt>
                <c:pt idx="12">
                  <c:v>37.109092054110313</c:v>
                </c:pt>
                <c:pt idx="13">
                  <c:v>30.819964957703601</c:v>
                </c:pt>
                <c:pt idx="14">
                  <c:v>25.130027243221662</c:v>
                </c:pt>
                <c:pt idx="15">
                  <c:v>20.435202712599029</c:v>
                </c:pt>
                <c:pt idx="16">
                  <c:v>17.032165052502602</c:v>
                </c:pt>
                <c:pt idx="17">
                  <c:v>15.088960300867072</c:v>
                </c:pt>
                <c:pt idx="18">
                  <c:v>14.639492881537475</c:v>
                </c:pt>
                <c:pt idx="19">
                  <c:v>15.603568310205198</c:v>
                </c:pt>
                <c:pt idx="20">
                  <c:v>17.820394126533916</c:v>
                </c:pt>
                <c:pt idx="21">
                  <c:v>21.081481843393366</c:v>
                </c:pt>
                <c:pt idx="22">
                  <c:v>25.156510028613368</c:v>
                </c:pt>
                <c:pt idx="23">
                  <c:v>29.810661574355816</c:v>
                </c:pt>
                <c:pt idx="24">
                  <c:v>34.814639590779279</c:v>
                </c:pt>
                <c:pt idx="25">
                  <c:v>39.949969039943042</c:v>
                </c:pt>
                <c:pt idx="26">
                  <c:v>45.011565682502095</c:v>
                </c:pt>
                <c:pt idx="27">
                  <c:v>49.808103589306263</c:v>
                </c:pt>
                <c:pt idx="28">
                  <c:v>54.159472650360456</c:v>
                </c:pt>
                <c:pt idx="29">
                  <c:v>57.889922943576622</c:v>
                </c:pt>
                <c:pt idx="30">
                  <c:v>60.816530441028974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E7E9-E140-9092-CB80BC28CBA5}"/>
            </c:ext>
          </c:extLst>
        </c:ser>
        <c:ser>
          <c:idx val="1"/>
          <c:order val="1"/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Pt>
            <c:idx val="0"/>
            <c:bubble3D val="0"/>
            <c:spPr>
              <a:ln w="38100" cap="rnd" cmpd="sng" algn="ctr">
                <a:solidFill>
                  <a:schemeClr val="accent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03E5-AB4C-98EA-1F6B2DD8F79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5-7697-DD4C-9844-D977B1F6A57E}"/>
              </c:ext>
            </c:extLst>
          </c:dPt>
          <c:xVal>
            <c:numRef>
              <c:f>Analemma2!$E$33:$E$63</c:f>
              <c:numCache>
                <c:formatCode>#,##0.00</c:formatCode>
                <c:ptCount val="31"/>
                <c:pt idx="0">
                  <c:v>187.4706347786763</c:v>
                </c:pt>
                <c:pt idx="1">
                  <c:v>187.36258673810022</c:v>
                </c:pt>
                <c:pt idx="2">
                  <c:v>185.88663281536304</c:v>
                </c:pt>
                <c:pt idx="3">
                  <c:v>183.53568033090301</c:v>
                </c:pt>
                <c:pt idx="4">
                  <c:v>181.09938216893056</c:v>
                </c:pt>
                <c:pt idx="5">
                  <c:v>179.20206159679714</c:v>
                </c:pt>
                <c:pt idx="6">
                  <c:v>178.02969120381891</c:v>
                </c:pt>
                <c:pt idx="7">
                  <c:v>177.41292190685323</c:v>
                </c:pt>
                <c:pt idx="8">
                  <c:v>177.03793716888418</c:v>
                </c:pt>
                <c:pt idx="9">
                  <c:v>176.5991479900477</c:v>
                </c:pt>
                <c:pt idx="10">
                  <c:v>175.87421447966142</c:v>
                </c:pt>
                <c:pt idx="11">
                  <c:v>174.75729734557791</c:v>
                </c:pt>
                <c:pt idx="12">
                  <c:v>173.27229169718186</c:v>
                </c:pt>
                <c:pt idx="13">
                  <c:v>171.56565644568497</c:v>
                </c:pt>
                <c:pt idx="14">
                  <c:v>169.8711322614684</c:v>
                </c:pt>
                <c:pt idx="15">
                  <c:v>168.45016288879566</c:v>
                </c:pt>
                <c:pt idx="16">
                  <c:v>167.5298244642633</c:v>
                </c:pt>
                <c:pt idx="17">
                  <c:v>167.26322296724885</c:v>
                </c:pt>
                <c:pt idx="18">
                  <c:v>167.72073047136411</c:v>
                </c:pt>
                <c:pt idx="19">
                  <c:v>168.90155908438942</c:v>
                </c:pt>
                <c:pt idx="20">
                  <c:v>170.74913691196662</c:v>
                </c:pt>
                <c:pt idx="21">
                  <c:v>173.15873876717961</c:v>
                </c:pt>
                <c:pt idx="22">
                  <c:v>175.97315858719736</c:v>
                </c:pt>
                <c:pt idx="23">
                  <c:v>178.96769293748463</c:v>
                </c:pt>
                <c:pt idx="24">
                  <c:v>181.8308931617803</c:v>
                </c:pt>
                <c:pt idx="25">
                  <c:v>184.15711687629641</c:v>
                </c:pt>
                <c:pt idx="26">
                  <c:v>185.4854740659718</c:v>
                </c:pt>
                <c:pt idx="27">
                  <c:v>185.43921523002354</c:v>
                </c:pt>
                <c:pt idx="28">
                  <c:v>183.98309978040646</c:v>
                </c:pt>
                <c:pt idx="29">
                  <c:v>181.63095486161774</c:v>
                </c:pt>
                <c:pt idx="30">
                  <c:v>179.26749335118308</c:v>
                </c:pt>
              </c:numCache>
            </c:numRef>
          </c:xVal>
          <c:yVal>
            <c:numRef>
              <c:f>Analemma2!$D$33:$D$63</c:f>
              <c:numCache>
                <c:formatCode>0.00</c:formatCode>
                <c:ptCount val="31"/>
                <c:pt idx="0">
                  <c:v>60.816530441028974</c:v>
                </c:pt>
                <c:pt idx="1">
                  <c:v>62.738502259568996</c:v>
                </c:pt>
                <c:pt idx="2">
                  <c:v>63.444536090895213</c:v>
                </c:pt>
                <c:pt idx="3">
                  <c:v>62.758045390280429</c:v>
                </c:pt>
                <c:pt idx="4">
                  <c:v>60.606691899763874</c:v>
                </c:pt>
                <c:pt idx="5">
                  <c:v>57.061565214540508</c:v>
                </c:pt>
                <c:pt idx="6">
                  <c:v>52.320701666852322</c:v>
                </c:pt>
                <c:pt idx="7">
                  <c:v>46.672334949727954</c:v>
                </c:pt>
                <c:pt idx="8">
                  <c:v>40.470803030287179</c:v>
                </c:pt>
                <c:pt idx="9">
                  <c:v>34.122924022807801</c:v>
                </c:pt>
                <c:pt idx="10">
                  <c:v>28.069365045326506</c:v>
                </c:pt>
                <c:pt idx="11">
                  <c:v>22.750754662613112</c:v>
                </c:pt>
                <c:pt idx="12">
                  <c:v>18.558046148727335</c:v>
                </c:pt>
                <c:pt idx="13">
                  <c:v>15.777547129743626</c:v>
                </c:pt>
                <c:pt idx="14">
                  <c:v>14.550392223728259</c:v>
                </c:pt>
                <c:pt idx="15">
                  <c:v>14.865366587556236</c:v>
                </c:pt>
                <c:pt idx="16">
                  <c:v>16.586340348479254</c:v>
                </c:pt>
                <c:pt idx="17">
                  <c:v>19.496844294744967</c:v>
                </c:pt>
                <c:pt idx="18">
                  <c:v>23.343573419949667</c:v>
                </c:pt>
                <c:pt idx="19">
                  <c:v>27.868322023791062</c:v>
                </c:pt>
                <c:pt idx="20">
                  <c:v>32.825456503651566</c:v>
                </c:pt>
                <c:pt idx="21">
                  <c:v>37.988360312405078</c:v>
                </c:pt>
                <c:pt idx="22">
                  <c:v>43.149872144670731</c:v>
                </c:pt>
                <c:pt idx="23">
                  <c:v>48.119537916425109</c:v>
                </c:pt>
                <c:pt idx="24">
                  <c:v>52.717747208566294</c:v>
                </c:pt>
                <c:pt idx="25">
                  <c:v>56.765421384369681</c:v>
                </c:pt>
                <c:pt idx="26">
                  <c:v>60.069292410380605</c:v>
                </c:pt>
                <c:pt idx="27">
                  <c:v>62.40966768866074</c:v>
                </c:pt>
                <c:pt idx="28">
                  <c:v>63.550682170529498</c:v>
                </c:pt>
                <c:pt idx="29">
                  <c:v>63.295770458222989</c:v>
                </c:pt>
                <c:pt idx="30">
                  <c:v>61.569632061619664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7697-DD4C-9844-D977B1F6A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34352"/>
        <c:axId val="94890419"/>
      </c:scatterChart>
      <c:valAx>
        <c:axId val="44034352"/>
        <c:scaling>
          <c:orientation val="minMax"/>
        </c:scaling>
        <c:delete val="0"/>
        <c:axPos val="b"/>
        <c:majorGridlines>
          <c:spPr>
            <a:ln w="0" cap="flat" cmpd="sng" algn="ctr">
              <a:solidFill>
                <a:srgbClr val="B3B3B3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spc="-1" baseline="0">
                    <a:solidFill>
                      <a:schemeClr val="tx1"/>
                    </a:solidFill>
                    <a:latin typeface="Arial"/>
                    <a:ea typeface="+mn-ea"/>
                    <a:cs typeface="+mn-cs"/>
                  </a:defRPr>
                </a:pPr>
                <a:r>
                  <a:rPr lang="de-DE" sz="1000" b="1" strike="noStrike" spc="-1">
                    <a:latin typeface="Arial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85537692515536301"/>
              <c:y val="0.85305628691382596"/>
            </c:manualLayout>
          </c:layout>
          <c:overlay val="0"/>
          <c:spPr>
            <a:noFill/>
            <a:ln w="0">
              <a:noFill/>
            </a:ln>
            <a:effectLst/>
          </c:spPr>
        </c:title>
        <c:numFmt formatCode="#,###" sourceLinked="0"/>
        <c:majorTickMark val="out"/>
        <c:minorTickMark val="none"/>
        <c:tickLblPos val="nextTo"/>
        <c:spPr>
          <a:noFill/>
          <a:ln w="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" baseline="0">
                <a:solidFill>
                  <a:schemeClr val="tx1"/>
                </a:solidFill>
                <a:latin typeface="Arial"/>
                <a:ea typeface="+mn-ea"/>
                <a:cs typeface="+mn-cs"/>
              </a:defRPr>
            </a:pPr>
            <a:endParaRPr lang="de-DE"/>
          </a:p>
        </c:txPr>
        <c:crossAx val="94890419"/>
        <c:crosses val="autoZero"/>
        <c:crossBetween val="midCat"/>
      </c:valAx>
      <c:valAx>
        <c:axId val="94890419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rgbClr val="B3B3B3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spc="-1" baseline="0">
                    <a:solidFill>
                      <a:schemeClr val="tx1"/>
                    </a:solidFill>
                    <a:latin typeface="Arial"/>
                    <a:ea typeface="+mn-ea"/>
                    <a:cs typeface="+mn-cs"/>
                  </a:defRPr>
                </a:pPr>
                <a:r>
                  <a:rPr lang="de-DE" sz="1000" b="1" strike="noStrike" spc="-1">
                    <a:latin typeface="Arial"/>
                  </a:rPr>
                  <a:t>elev</a:t>
                </a:r>
              </a:p>
            </c:rich>
          </c:tx>
          <c:layout>
            <c:manualLayout>
              <c:xMode val="edge"/>
              <c:yMode val="edge"/>
              <c:x val="0.15455282356120001"/>
              <c:y val="0.10268270120259"/>
            </c:manualLayout>
          </c:layout>
          <c:overlay val="0"/>
          <c:spPr>
            <a:noFill/>
            <a:ln w="0"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1" baseline="0">
                <a:solidFill>
                  <a:schemeClr val="tx1"/>
                </a:solidFill>
                <a:latin typeface="Arial"/>
                <a:ea typeface="+mn-ea"/>
                <a:cs typeface="+mn-cs"/>
              </a:defRPr>
            </a:pPr>
            <a:endParaRPr lang="de-DE"/>
          </a:p>
        </c:txPr>
        <c:crossAx val="44034352"/>
        <c:crosses val="autoZero"/>
        <c:crossBetween val="midCat"/>
      </c:valAx>
      <c:spPr>
        <a:noFill/>
        <a:ln w="0">
          <a:solidFill>
            <a:schemeClr val="accent6"/>
          </a:solidFill>
        </a:ln>
        <a:effectLst/>
      </c:spPr>
    </c:plotArea>
    <c:plotVisOnly val="1"/>
    <c:dispBlanksAs val="span"/>
    <c:showDLblsOverMax val="1"/>
  </c:chart>
  <c:spPr>
    <a:solidFill>
      <a:srgbClr val="FFFFFF"/>
    </a:solidFill>
    <a:ln w="0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de-DE" sz="1200" b="0" strike="noStrike" spc="-1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layout>
        <c:manualLayout>
          <c:xMode val="edge"/>
          <c:yMode val="edge"/>
          <c:x val="0.38106116433308801"/>
          <c:y val="7.4021012416427903E-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94473102431797E-2"/>
          <c:y val="9.5988538681948399E-2"/>
          <c:w val="0.87671333824613096"/>
          <c:h val="0.79871060171919805"/>
        </c:manualLayout>
      </c:layout>
      <c:scatterChart>
        <c:scatterStyle val="lineMarker"/>
        <c:varyColors val="0"/>
        <c:ser>
          <c:idx val="0"/>
          <c:order val="0"/>
          <c:spPr>
            <a:ln w="21600">
              <a:solidFill>
                <a:srgbClr val="0000FF"/>
              </a:solidFill>
              <a:round/>
            </a:ln>
          </c:spPr>
          <c:marker>
            <c:symbol val="circle"/>
            <c:size val="3"/>
            <c:spPr>
              <a:solidFill>
                <a:srgbClr val="0000FF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illum'!$K$2:$K$33</c:f>
              <c:numCache>
                <c:formatCode>0.00</c:formatCode>
                <c:ptCount val="32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</c:numCache>
            </c:numRef>
          </c:xVal>
          <c:yVal>
            <c:numRef>
              <c:f>'elev  az  illum'!$I$2:$I$33</c:f>
              <c:numCache>
                <c:formatCode>#,##0.00</c:formatCode>
                <c:ptCount val="32"/>
                <c:pt idx="0">
                  <c:v>4.260611662721109</c:v>
                </c:pt>
                <c:pt idx="1">
                  <c:v>9.0219878205065989</c:v>
                </c:pt>
                <c:pt idx="2">
                  <c:v>15.4377739115303</c:v>
                </c:pt>
                <c:pt idx="3">
                  <c:v>23.332753960237234</c:v>
                </c:pt>
                <c:pt idx="4">
                  <c:v>32.492336627047735</c:v>
                </c:pt>
                <c:pt idx="5">
                  <c:v>42.651815041788936</c:v>
                </c:pt>
                <c:pt idx="6">
                  <c:v>53.471271803311851</c:v>
                </c:pt>
                <c:pt idx="7">
                  <c:v>64.502000981634339</c:v>
                </c:pt>
                <c:pt idx="8">
                  <c:v>75.161849349546927</c:v>
                </c:pt>
                <c:pt idx="9">
                  <c:v>84.744547632822133</c:v>
                </c:pt>
                <c:pt idx="10">
                  <c:v>92.483314640254207</c:v>
                </c:pt>
                <c:pt idx="11">
                  <c:v>97.668224066067751</c:v>
                </c:pt>
                <c:pt idx="12">
                  <c:v>99.788008462532858</c:v>
                </c:pt>
                <c:pt idx="13">
                  <c:v>98.646931177976938</c:v>
                </c:pt>
                <c:pt idx="14">
                  <c:v>94.409888834976627</c:v>
                </c:pt>
                <c:pt idx="15">
                  <c:v>87.555651522431035</c:v>
                </c:pt>
                <c:pt idx="16">
                  <c:v>78.757374965016709</c:v>
                </c:pt>
                <c:pt idx="17">
                  <c:v>68.739918794460593</c:v>
                </c:pt>
                <c:pt idx="18">
                  <c:v>58.16638624799468</c:v>
                </c:pt>
                <c:pt idx="19">
                  <c:v>47.582013542981969</c:v>
                </c:pt>
                <c:pt idx="20">
                  <c:v>37.411678578629129</c:v>
                </c:pt>
                <c:pt idx="21">
                  <c:v>27.987834126895596</c:v>
                </c:pt>
                <c:pt idx="22">
                  <c:v>19.5840677554183</c:v>
                </c:pt>
                <c:pt idx="23">
                  <c:v>12.438901393788605</c:v>
                </c:pt>
                <c:pt idx="24">
                  <c:v>6.7655507860332307</c:v>
                </c:pt>
                <c:pt idx="25">
                  <c:v>2.7505602559291464</c:v>
                </c:pt>
                <c:pt idx="26">
                  <c:v>0.5464272687506877</c:v>
                </c:pt>
                <c:pt idx="27">
                  <c:v>0.26230156871200339</c:v>
                </c:pt>
                <c:pt idx="28">
                  <c:v>1.9550600958626208</c:v>
                </c:pt>
                <c:pt idx="29">
                  <c:v>5.6219782320242491</c:v>
                </c:pt>
                <c:pt idx="30">
                  <c:v>11.195645973024437</c:v>
                </c:pt>
                <c:pt idx="31">
                  <c:v>18.540644116339145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35-E34B-B18A-E5E873CD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93530"/>
        <c:axId val="47936786"/>
      </c:scatterChart>
      <c:valAx>
        <c:axId val="86893530"/>
        <c:scaling>
          <c:orientation val="minMax"/>
          <c:max val="31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0" i="1" strike="noStrike" spc="-1">
                    <a:latin typeface="Arial"/>
                  </a:defRPr>
                </a:pPr>
                <a:r>
                  <a:rPr lang="de-DE" sz="1200" b="1" i="0" strike="noStrike" spc="-1">
                    <a:latin typeface="Arial"/>
                  </a:rPr>
                  <a:t>∆t / d</a:t>
                </a:r>
              </a:p>
            </c:rich>
          </c:tx>
          <c:layout>
            <c:manualLayout>
              <c:xMode val="edge"/>
              <c:yMode val="edge"/>
              <c:x val="0.87958732498157699"/>
              <c:y val="0.7201528175740210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7936786"/>
        <c:crosses val="autoZero"/>
        <c:crossBetween val="midCat"/>
        <c:majorUnit val="1"/>
      </c:valAx>
      <c:valAx>
        <c:axId val="47936786"/>
        <c:scaling>
          <c:orientation val="minMax"/>
          <c:max val="1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1" strike="noStrike" spc="-1">
                    <a:latin typeface="Arial"/>
                  </a:defRPr>
                </a:pPr>
                <a:r>
                  <a:rPr lang="de-DE" sz="1200" b="1" strike="noStrike" spc="-1">
                    <a:latin typeface="Arial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3640383198231401"/>
              <c:y val="0.104226361031519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86893530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6690904102071605E-2"/>
          <c:y val="4.0636690383628001E-2"/>
          <c:w val="0.82308958704897806"/>
          <c:h val="0.88014376879630296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FF0000"/>
              </a:solidFill>
              <a:round/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Pt>
            <c:idx val="0"/>
            <c:marker>
              <c:symbol val="square"/>
              <c:size val="8"/>
              <c:spPr>
                <a:solidFill>
                  <a:srgbClr val="0000FF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CA1-ED44-BD26-AF5BECF7D06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4CA1-ED44-BD26-AF5BECF7D06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2-4CA1-ED44-BD26-AF5BECF7D06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4CA1-ED44-BD26-AF5BECF7D065}"/>
              </c:ext>
            </c:extLst>
          </c:dPt>
          <c:dPt>
            <c:idx val="30"/>
            <c:marker>
              <c:symbol val="square"/>
              <c:size val="8"/>
              <c:spPr>
                <a:solidFill>
                  <a:srgbClr val="00808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CA1-ED44-BD26-AF5BECF7D065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1-ED44-BD26-AF5BECF7D065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1-ED44-BD26-AF5BECF7D065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1-ED44-BD26-AF5BECF7D065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1-ED44-BD26-AF5BECF7D065}"/>
                </c:ext>
              </c:extLst>
            </c:dLbl>
            <c:dLbl>
              <c:idx val="3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1-ED44-BD26-AF5BECF7D0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illum'!$H$2:$H$32</c:f>
              <c:numCache>
                <c:formatCode>#,##0.00</c:formatCode>
                <c:ptCount val="31"/>
                <c:pt idx="0">
                  <c:v>180.32002311537519</c:v>
                </c:pt>
                <c:pt idx="1">
                  <c:v>183.54859671035501</c:v>
                </c:pt>
                <c:pt idx="2">
                  <c:v>186.51301956798125</c:v>
                </c:pt>
                <c:pt idx="3">
                  <c:v>188.75936624232327</c:v>
                </c:pt>
                <c:pt idx="4">
                  <c:v>189.78060842918586</c:v>
                </c:pt>
                <c:pt idx="5">
                  <c:v>189.19037883214651</c:v>
                </c:pt>
                <c:pt idx="6">
                  <c:v>187.01136348762321</c:v>
                </c:pt>
                <c:pt idx="7">
                  <c:v>183.85860002793061</c:v>
                </c:pt>
                <c:pt idx="8">
                  <c:v>180.68008057037616</c:v>
                </c:pt>
                <c:pt idx="9">
                  <c:v>178.18722453189093</c:v>
                </c:pt>
                <c:pt idx="10">
                  <c:v>176.56241252853619</c:v>
                </c:pt>
                <c:pt idx="11">
                  <c:v>175.5979843604992</c:v>
                </c:pt>
                <c:pt idx="12">
                  <c:v>174.95309474666089</c:v>
                </c:pt>
                <c:pt idx="13">
                  <c:v>174.32136616333668</c:v>
                </c:pt>
                <c:pt idx="14">
                  <c:v>173.50376878185864</c:v>
                </c:pt>
                <c:pt idx="15">
                  <c:v>172.43045433374959</c:v>
                </c:pt>
                <c:pt idx="16">
                  <c:v>171.15510521923903</c:v>
                </c:pt>
                <c:pt idx="17">
                  <c:v>169.8270394319668</c:v>
                </c:pt>
                <c:pt idx="18">
                  <c:v>168.64533764563157</c:v>
                </c:pt>
                <c:pt idx="19">
                  <c:v>167.80802553697742</c:v>
                </c:pt>
                <c:pt idx="20">
                  <c:v>167.47326706743178</c:v>
                </c:pt>
                <c:pt idx="21">
                  <c:v>167.74162990189274</c:v>
                </c:pt>
                <c:pt idx="22">
                  <c:v>168.65599946964238</c:v>
                </c:pt>
                <c:pt idx="23">
                  <c:v>170.20901106972894</c:v>
                </c:pt>
                <c:pt idx="24">
                  <c:v>172.34882882474722</c:v>
                </c:pt>
                <c:pt idx="25">
                  <c:v>174.97820020143723</c:v>
                </c:pt>
                <c:pt idx="26">
                  <c:v>177.94527766741521</c:v>
                </c:pt>
                <c:pt idx="27">
                  <c:v>181.02758744084286</c:v>
                </c:pt>
                <c:pt idx="28">
                  <c:v>183.91519526438947</c:v>
                </c:pt>
                <c:pt idx="29">
                  <c:v>186.20934776934183</c:v>
                </c:pt>
                <c:pt idx="30">
                  <c:v>187.4706347786763</c:v>
                </c:pt>
              </c:numCache>
            </c:numRef>
          </c:xVal>
          <c:yVal>
            <c:numRef>
              <c:f>'elev  az  illum'!$G$2:$G$32</c:f>
              <c:numCache>
                <c:formatCode>0.00</c:formatCode>
                <c:ptCount val="31"/>
                <c:pt idx="0">
                  <c:v>46.586159553269994</c:v>
                </c:pt>
                <c:pt idx="1">
                  <c:v>51.155070437167197</c:v>
                </c:pt>
                <c:pt idx="2">
                  <c:v>55.222071777594643</c:v>
                </c:pt>
                <c:pt idx="3">
                  <c:v>58.63072590063453</c:v>
                </c:pt>
                <c:pt idx="4">
                  <c:v>61.214018842797415</c:v>
                </c:pt>
                <c:pt idx="5">
                  <c:v>62.771133710177409</c:v>
                </c:pt>
                <c:pt idx="6">
                  <c:v>63.067272121959071</c:v>
                </c:pt>
                <c:pt idx="7">
                  <c:v>61.892140394452973</c:v>
                </c:pt>
                <c:pt idx="8">
                  <c:v>59.163313054658886</c:v>
                </c:pt>
                <c:pt idx="9">
                  <c:v>54.990434146296117</c:v>
                </c:pt>
                <c:pt idx="10">
                  <c:v>49.653797307909109</c:v>
                </c:pt>
                <c:pt idx="11">
                  <c:v>43.543669552669542</c:v>
                </c:pt>
                <c:pt idx="12">
                  <c:v>37.109092054110313</c:v>
                </c:pt>
                <c:pt idx="13">
                  <c:v>30.819964957703601</c:v>
                </c:pt>
                <c:pt idx="14">
                  <c:v>25.130027243221662</c:v>
                </c:pt>
                <c:pt idx="15">
                  <c:v>20.435202712599029</c:v>
                </c:pt>
                <c:pt idx="16">
                  <c:v>17.032165052502602</c:v>
                </c:pt>
                <c:pt idx="17">
                  <c:v>15.088960300867072</c:v>
                </c:pt>
                <c:pt idx="18">
                  <c:v>14.639492881537475</c:v>
                </c:pt>
                <c:pt idx="19">
                  <c:v>15.603568310205198</c:v>
                </c:pt>
                <c:pt idx="20">
                  <c:v>17.820394126533916</c:v>
                </c:pt>
                <c:pt idx="21">
                  <c:v>21.081481843393366</c:v>
                </c:pt>
                <c:pt idx="22">
                  <c:v>25.156510028613368</c:v>
                </c:pt>
                <c:pt idx="23">
                  <c:v>29.810661574355816</c:v>
                </c:pt>
                <c:pt idx="24">
                  <c:v>34.814639590779279</c:v>
                </c:pt>
                <c:pt idx="25">
                  <c:v>39.949969039943042</c:v>
                </c:pt>
                <c:pt idx="26">
                  <c:v>45.011565682502095</c:v>
                </c:pt>
                <c:pt idx="27">
                  <c:v>49.808103589306263</c:v>
                </c:pt>
                <c:pt idx="28">
                  <c:v>54.159472650360456</c:v>
                </c:pt>
                <c:pt idx="29">
                  <c:v>57.889922943576622</c:v>
                </c:pt>
                <c:pt idx="30">
                  <c:v>60.816530441028974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A1-ED44-BD26-AF5BECF7D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95067"/>
        <c:axId val="65588819"/>
      </c:scatterChart>
      <c:valAx>
        <c:axId val="71695067"/>
        <c:scaling>
          <c:orientation val="minMax"/>
          <c:max val="210"/>
          <c:min val="14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sz="1200" b="1" strike="noStrike" spc="-1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81815063794759202"/>
              <c:y val="0.8495562238685540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65588819"/>
        <c:crosses val="autoZero"/>
        <c:crossBetween val="midCat"/>
      </c:valAx>
      <c:valAx>
        <c:axId val="65588819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sz="1100" b="1" strike="noStrike" spc="-1">
                    <a:solidFill>
                      <a:srgbClr val="000000"/>
                    </a:solidFill>
                    <a:latin typeface="Calibri"/>
                  </a:rPr>
                  <a:t>elev_r</a:t>
                </a:r>
              </a:p>
            </c:rich>
          </c:tx>
          <c:layout>
            <c:manualLayout>
              <c:xMode val="edge"/>
              <c:yMode val="edge"/>
              <c:x val="0.10687337083276199"/>
              <c:y val="8.4940952101518405E-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71695067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r>
              <a:rPr sz="1200" b="0" strike="noStrike" spc="-1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82325894359096E-2"/>
          <c:y val="0.120965164589326"/>
          <c:w val="0.89705057754850304"/>
          <c:h val="0.759188239054011"/>
        </c:manualLayout>
      </c:layout>
      <c:scatterChart>
        <c:scatterStyle val="lineMarker"/>
        <c:varyColors val="0"/>
        <c:ser>
          <c:idx val="0"/>
          <c:order val="0"/>
          <c:spPr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illum'!$K$2:$K$50</c:f>
              <c:numCache>
                <c:formatCode>0.00</c:formatCode>
                <c:ptCount val="49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  <c:pt idx="32">
                  <c:v>33.121592536568642</c:v>
                </c:pt>
                <c:pt idx="33">
                  <c:v>34.156642303336412</c:v>
                </c:pt>
                <c:pt idx="34">
                  <c:v>35.191692070104182</c:v>
                </c:pt>
                <c:pt idx="35">
                  <c:v>36.226741836871952</c:v>
                </c:pt>
                <c:pt idx="36">
                  <c:v>37.261791603639722</c:v>
                </c:pt>
                <c:pt idx="37">
                  <c:v>38.296841370407492</c:v>
                </c:pt>
                <c:pt idx="38">
                  <c:v>39.331891137175262</c:v>
                </c:pt>
                <c:pt idx="39">
                  <c:v>40.366940903943032</c:v>
                </c:pt>
                <c:pt idx="40">
                  <c:v>41.401990670710802</c:v>
                </c:pt>
                <c:pt idx="41">
                  <c:v>42.437040437478572</c:v>
                </c:pt>
                <c:pt idx="42">
                  <c:v>43.472090204246342</c:v>
                </c:pt>
                <c:pt idx="43">
                  <c:v>44.507139971014112</c:v>
                </c:pt>
                <c:pt idx="44">
                  <c:v>45.542189737781882</c:v>
                </c:pt>
                <c:pt idx="45">
                  <c:v>46.577239504549652</c:v>
                </c:pt>
                <c:pt idx="46">
                  <c:v>47.612289271317422</c:v>
                </c:pt>
                <c:pt idx="47">
                  <c:v>48.647339038085192</c:v>
                </c:pt>
                <c:pt idx="48">
                  <c:v>49.682388804852962</c:v>
                </c:pt>
              </c:numCache>
            </c:numRef>
          </c:xVal>
          <c:yVal>
            <c:numRef>
              <c:f>'elev  az  illum'!$I$2:$I$50</c:f>
              <c:numCache>
                <c:formatCode>#,##0.00</c:formatCode>
                <c:ptCount val="49"/>
                <c:pt idx="0">
                  <c:v>4.260611662721109</c:v>
                </c:pt>
                <c:pt idx="1">
                  <c:v>9.0219878205065989</c:v>
                </c:pt>
                <c:pt idx="2">
                  <c:v>15.4377739115303</c:v>
                </c:pt>
                <c:pt idx="3">
                  <c:v>23.332753960237234</c:v>
                </c:pt>
                <c:pt idx="4">
                  <c:v>32.492336627047735</c:v>
                </c:pt>
                <c:pt idx="5">
                  <c:v>42.651815041788936</c:v>
                </c:pt>
                <c:pt idx="6">
                  <c:v>53.471271803311851</c:v>
                </c:pt>
                <c:pt idx="7">
                  <c:v>64.502000981634339</c:v>
                </c:pt>
                <c:pt idx="8">
                  <c:v>75.161849349546927</c:v>
                </c:pt>
                <c:pt idx="9">
                  <c:v>84.744547632822133</c:v>
                </c:pt>
                <c:pt idx="10">
                  <c:v>92.483314640254207</c:v>
                </c:pt>
                <c:pt idx="11">
                  <c:v>97.668224066067751</c:v>
                </c:pt>
                <c:pt idx="12">
                  <c:v>99.788008462532858</c:v>
                </c:pt>
                <c:pt idx="13">
                  <c:v>98.646931177976938</c:v>
                </c:pt>
                <c:pt idx="14">
                  <c:v>94.409888834976627</c:v>
                </c:pt>
                <c:pt idx="15">
                  <c:v>87.555651522431035</c:v>
                </c:pt>
                <c:pt idx="16">
                  <c:v>78.757374965016709</c:v>
                </c:pt>
                <c:pt idx="17">
                  <c:v>68.739918794460593</c:v>
                </c:pt>
                <c:pt idx="18">
                  <c:v>58.16638624799468</c:v>
                </c:pt>
                <c:pt idx="19">
                  <c:v>47.582013542981969</c:v>
                </c:pt>
                <c:pt idx="20">
                  <c:v>37.411678578629129</c:v>
                </c:pt>
                <c:pt idx="21">
                  <c:v>27.987834126895596</c:v>
                </c:pt>
                <c:pt idx="22">
                  <c:v>19.5840677554183</c:v>
                </c:pt>
                <c:pt idx="23">
                  <c:v>12.438901393788605</c:v>
                </c:pt>
                <c:pt idx="24">
                  <c:v>6.7655507860332307</c:v>
                </c:pt>
                <c:pt idx="25">
                  <c:v>2.7505602559291464</c:v>
                </c:pt>
                <c:pt idx="26">
                  <c:v>0.5464272687506877</c:v>
                </c:pt>
                <c:pt idx="27">
                  <c:v>0.26230156871200339</c:v>
                </c:pt>
                <c:pt idx="28">
                  <c:v>1.9550600958626208</c:v>
                </c:pt>
                <c:pt idx="29">
                  <c:v>5.6219782320242491</c:v>
                </c:pt>
                <c:pt idx="30">
                  <c:v>11.195645973024437</c:v>
                </c:pt>
                <c:pt idx="31">
                  <c:v>18.540644116339145</c:v>
                </c:pt>
                <c:pt idx="32">
                  <c:v>27.449466539234781</c:v>
                </c:pt>
                <c:pt idx="33">
                  <c:v>37.633727136855079</c:v>
                </c:pt>
                <c:pt idx="34">
                  <c:v>48.708425259016806</c:v>
                </c:pt>
                <c:pt idx="35">
                  <c:v>60.173363457188259</c:v>
                </c:pt>
                <c:pt idx="36">
                  <c:v>71.404641669887184</c:v>
                </c:pt>
                <c:pt idx="37">
                  <c:v>81.674818251123256</c:v>
                </c:pt>
                <c:pt idx="38">
                  <c:v>90.216533515742057</c:v>
                </c:pt>
                <c:pt idx="39">
                  <c:v>96.328859533833281</c:v>
                </c:pt>
                <c:pt idx="40">
                  <c:v>99.503087902427922</c:v>
                </c:pt>
                <c:pt idx="41">
                  <c:v>99.526143986320051</c:v>
                </c:pt>
                <c:pt idx="42">
                  <c:v>96.518768682341573</c:v>
                </c:pt>
                <c:pt idx="43">
                  <c:v>90.889370561101529</c:v>
                </c:pt>
                <c:pt idx="44">
                  <c:v>83.223242731288479</c:v>
                </c:pt>
                <c:pt idx="45">
                  <c:v>74.155276716554823</c:v>
                </c:pt>
                <c:pt idx="46">
                  <c:v>64.273107481211241</c:v>
                </c:pt>
                <c:pt idx="47">
                  <c:v>54.072092463990927</c:v>
                </c:pt>
                <c:pt idx="48">
                  <c:v>43.955351291445304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7-3F4E-827E-72174B70C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781"/>
        <c:axId val="58562479"/>
      </c:scatterChart>
      <c:valAx>
        <c:axId val="2482781"/>
        <c:scaling>
          <c:orientation val="minMax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58562479"/>
        <c:crosses val="autoZero"/>
        <c:crossBetween val="midCat"/>
        <c:majorUnit val="3"/>
      </c:valAx>
      <c:valAx>
        <c:axId val="58562479"/>
        <c:scaling>
          <c:orientation val="minMax"/>
          <c:max val="1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sz="1200" b="1" strike="noStrike" spc="-1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8.7921946843108695E-2"/>
              <c:y val="0.143975711089805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482781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sz="1300" b="0" strike="noStrike" spc="-1">
                <a:latin typeface="Arial"/>
              </a:rPr>
              <a:t>Deklination</a:t>
            </a:r>
          </a:p>
        </c:rich>
      </c:tx>
      <c:layout>
        <c:manualLayout>
          <c:xMode val="edge"/>
          <c:yMode val="edge"/>
          <c:x val="0.43039054061736098"/>
          <c:y val="1.9747932889138599E-2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498379853334105E-2"/>
          <c:y val="7.63426186080116E-2"/>
          <c:w val="0.86908077994429001"/>
          <c:h val="0.77049048727623004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FF0000"/>
              </a:solidFill>
              <a:round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'declin  RA'!$E$2:$E$50</c:f>
              <c:numCache>
                <c:formatCode>0.00</c:formatCode>
                <c:ptCount val="49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  <c:pt idx="32">
                  <c:v>33.121592536568642</c:v>
                </c:pt>
                <c:pt idx="33">
                  <c:v>34.156642303336412</c:v>
                </c:pt>
                <c:pt idx="34">
                  <c:v>35.191692070104182</c:v>
                </c:pt>
                <c:pt idx="35">
                  <c:v>36.226741836871952</c:v>
                </c:pt>
                <c:pt idx="36">
                  <c:v>37.261791603639722</c:v>
                </c:pt>
                <c:pt idx="37">
                  <c:v>38.296841370407492</c:v>
                </c:pt>
                <c:pt idx="38">
                  <c:v>39.331891137175262</c:v>
                </c:pt>
                <c:pt idx="39">
                  <c:v>40.366940903943032</c:v>
                </c:pt>
                <c:pt idx="40">
                  <c:v>41.401990670710802</c:v>
                </c:pt>
                <c:pt idx="41">
                  <c:v>42.437040437478572</c:v>
                </c:pt>
                <c:pt idx="42">
                  <c:v>43.472090204246342</c:v>
                </c:pt>
                <c:pt idx="43">
                  <c:v>44.507139971014112</c:v>
                </c:pt>
                <c:pt idx="44">
                  <c:v>45.542189737781882</c:v>
                </c:pt>
                <c:pt idx="45">
                  <c:v>46.577239504549652</c:v>
                </c:pt>
                <c:pt idx="46">
                  <c:v>47.612289271317422</c:v>
                </c:pt>
                <c:pt idx="47">
                  <c:v>48.647339038085192</c:v>
                </c:pt>
                <c:pt idx="48">
                  <c:v>49.682388804852962</c:v>
                </c:pt>
              </c:numCache>
            </c:numRef>
          </c:xVal>
          <c:yVal>
            <c:numRef>
              <c:f>'declin  RA'!$F$2:$F$50</c:f>
              <c:numCache>
                <c:formatCode>0.00</c:formatCode>
                <c:ptCount val="49"/>
                <c:pt idx="0">
                  <c:v>7.1821909712566194</c:v>
                </c:pt>
                <c:pt idx="1">
                  <c:v>11.746245916508018</c:v>
                </c:pt>
                <c:pt idx="2">
                  <c:v>15.8616738587287</c:v>
                </c:pt>
                <c:pt idx="3">
                  <c:v>19.325309365758876</c:v>
                </c:pt>
                <c:pt idx="4">
                  <c:v>21.919071315934989</c:v>
                </c:pt>
                <c:pt idx="5">
                  <c:v>23.41876794205638</c:v>
                </c:pt>
                <c:pt idx="6">
                  <c:v>23.619085523222182</c:v>
                </c:pt>
                <c:pt idx="7">
                  <c:v>22.37575192155894</c:v>
                </c:pt>
                <c:pt idx="8">
                  <c:v>19.653134535220502</c:v>
                </c:pt>
                <c:pt idx="9">
                  <c:v>15.555839310174788</c:v>
                </c:pt>
                <c:pt idx="10">
                  <c:v>10.329474478596479</c:v>
                </c:pt>
                <c:pt idx="11">
                  <c:v>4.3341349012175279</c:v>
                </c:pt>
                <c:pt idx="12">
                  <c:v>-1.9947272390604154</c:v>
                </c:pt>
                <c:pt idx="13">
                  <c:v>-8.187318874186202</c:v>
                </c:pt>
                <c:pt idx="14">
                  <c:v>-13.781384502441037</c:v>
                </c:pt>
                <c:pt idx="15">
                  <c:v>-18.368342847501971</c:v>
                </c:pt>
                <c:pt idx="16">
                  <c:v>-21.642302031707917</c:v>
                </c:pt>
                <c:pt idx="17">
                  <c:v>-23.439795581174248</c:v>
                </c:pt>
                <c:pt idx="18">
                  <c:v>-23.751479928819158</c:v>
                </c:pt>
                <c:pt idx="19">
                  <c:v>-22.696370343485786</c:v>
                </c:pt>
                <c:pt idx="20">
                  <c:v>-20.471082916794607</c:v>
                </c:pt>
                <c:pt idx="21">
                  <c:v>-17.299504634060288</c:v>
                </c:pt>
                <c:pt idx="22">
                  <c:v>-13.40059391147272</c:v>
                </c:pt>
                <c:pt idx="23">
                  <c:v>-8.9761106930225782</c:v>
                </c:pt>
                <c:pt idx="24">
                  <c:v>-4.2112542317767216</c:v>
                </c:pt>
                <c:pt idx="25">
                  <c:v>0.71883900167280923</c:v>
                </c:pt>
                <c:pt idx="26">
                  <c:v>5.6406726987533453</c:v>
                </c:pt>
                <c:pt idx="27">
                  <c:v>10.373832453830568</c:v>
                </c:pt>
                <c:pt idx="28">
                  <c:v>14.723784098759474</c:v>
                </c:pt>
                <c:pt idx="29">
                  <c:v>18.47841973852244</c:v>
                </c:pt>
                <c:pt idx="30">
                  <c:v>21.411881218526833</c:v>
                </c:pt>
                <c:pt idx="31">
                  <c:v>23.29939560333489</c:v>
                </c:pt>
                <c:pt idx="32">
                  <c:v>23.9444630741284</c:v>
                </c:pt>
                <c:pt idx="33">
                  <c:v>23.213715593386972</c:v>
                </c:pt>
                <c:pt idx="34">
                  <c:v>21.067976301081249</c:v>
                </c:pt>
                <c:pt idx="35">
                  <c:v>17.577624661808663</c:v>
                </c:pt>
                <c:pt idx="36">
                  <c:v>12.919330039602613</c:v>
                </c:pt>
                <c:pt idx="37">
                  <c:v>7.3615459911693728</c:v>
                </c:pt>
                <c:pt idx="38">
                  <c:v>1.2480323427026141</c:v>
                </c:pt>
                <c:pt idx="39">
                  <c:v>-5.0176484034896403</c:v>
                </c:pt>
                <c:pt idx="40">
                  <c:v>-10.991483519626541</c:v>
                </c:pt>
                <c:pt idx="41">
                  <c:v>-16.221313958401591</c:v>
                </c:pt>
                <c:pt idx="42">
                  <c:v>-20.298967142609111</c:v>
                </c:pt>
                <c:pt idx="43">
                  <c:v>-22.927145443396309</c:v>
                </c:pt>
                <c:pt idx="44">
                  <c:v>-23.976463691833082</c:v>
                </c:pt>
                <c:pt idx="45">
                  <c:v>-23.498604544926572</c:v>
                </c:pt>
                <c:pt idx="46">
                  <c:v>-21.683334236607344</c:v>
                </c:pt>
                <c:pt idx="47">
                  <c:v>-18.785953098549623</c:v>
                </c:pt>
                <c:pt idx="48">
                  <c:v>-15.065426595880329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4-5745-AFC3-8ECC00198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0311"/>
        <c:axId val="36279852"/>
      </c:scatterChart>
      <c:valAx>
        <c:axId val="13300311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36279852"/>
        <c:crosses val="autoZero"/>
        <c:crossBetween val="midCat"/>
      </c:valAx>
      <c:valAx>
        <c:axId val="3627985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330031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sz="1300" b="0" strike="noStrike" spc="-1">
                <a:latin typeface="Arial"/>
              </a:rPr>
              <a:t>Rektaszension RA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62500000000002E-2"/>
          <c:y val="0.130704991260439"/>
          <c:w val="0.89418750000000002"/>
          <c:h val="0.786172072247038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0000FF"/>
              </a:solidFill>
              <a:round/>
            </a:ln>
          </c:spPr>
          <c:marker>
            <c:symbol val="circle"/>
            <c:size val="5"/>
            <c:spPr>
              <a:solidFill>
                <a:srgbClr val="0000FF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'declin  RA'!$E$2:$E$50</c:f>
              <c:numCache>
                <c:formatCode>0.00</c:formatCode>
                <c:ptCount val="49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  <c:pt idx="32">
                  <c:v>33.121592536568642</c:v>
                </c:pt>
                <c:pt idx="33">
                  <c:v>34.156642303336412</c:v>
                </c:pt>
                <c:pt idx="34">
                  <c:v>35.191692070104182</c:v>
                </c:pt>
                <c:pt idx="35">
                  <c:v>36.226741836871952</c:v>
                </c:pt>
                <c:pt idx="36">
                  <c:v>37.261791603639722</c:v>
                </c:pt>
                <c:pt idx="37">
                  <c:v>38.296841370407492</c:v>
                </c:pt>
                <c:pt idx="38">
                  <c:v>39.331891137175262</c:v>
                </c:pt>
                <c:pt idx="39">
                  <c:v>40.366940903943032</c:v>
                </c:pt>
                <c:pt idx="40">
                  <c:v>41.401990670710802</c:v>
                </c:pt>
                <c:pt idx="41">
                  <c:v>42.437040437478572</c:v>
                </c:pt>
                <c:pt idx="42">
                  <c:v>43.472090204246342</c:v>
                </c:pt>
                <c:pt idx="43">
                  <c:v>44.507139971014112</c:v>
                </c:pt>
                <c:pt idx="44">
                  <c:v>45.542189737781882</c:v>
                </c:pt>
                <c:pt idx="45">
                  <c:v>46.577239504549652</c:v>
                </c:pt>
                <c:pt idx="46">
                  <c:v>47.612289271317422</c:v>
                </c:pt>
                <c:pt idx="47">
                  <c:v>48.647339038085192</c:v>
                </c:pt>
                <c:pt idx="48">
                  <c:v>49.682388804852962</c:v>
                </c:pt>
              </c:numCache>
            </c:numRef>
          </c:xVal>
          <c:yVal>
            <c:numRef>
              <c:f>'declin  RA'!$H$2:$H$50</c:f>
              <c:numCache>
                <c:formatCode>0.00</c:formatCode>
                <c:ptCount val="49"/>
                <c:pt idx="0">
                  <c:v>29.216508636036117</c:v>
                </c:pt>
                <c:pt idx="1">
                  <c:v>40.82840000594566</c:v>
                </c:pt>
                <c:pt idx="2">
                  <c:v>52.904031465286735</c:v>
                </c:pt>
                <c:pt idx="3">
                  <c:v>65.595118723929858</c:v>
                </c:pt>
                <c:pt idx="4">
                  <c:v>78.999120495268656</c:v>
                </c:pt>
                <c:pt idx="5">
                  <c:v>93.123187880168047</c:v>
                </c:pt>
                <c:pt idx="6">
                  <c:v>107.8546214573736</c:v>
                </c:pt>
                <c:pt idx="7">
                  <c:v>122.96610473844135</c:v>
                </c:pt>
                <c:pt idx="8">
                  <c:v>138.17575780484154</c:v>
                </c:pt>
                <c:pt idx="9">
                  <c:v>153.24320407347082</c:v>
                </c:pt>
                <c:pt idx="10">
                  <c:v>168.0486966433582</c:v>
                </c:pt>
                <c:pt idx="11">
                  <c:v>182.61533089508725</c:v>
                </c:pt>
                <c:pt idx="12">
                  <c:v>197.07636979491977</c:v>
                </c:pt>
                <c:pt idx="13">
                  <c:v>211.61252753975776</c:v>
                </c:pt>
                <c:pt idx="14">
                  <c:v>226.37928531894065</c:v>
                </c:pt>
                <c:pt idx="15">
                  <c:v>241.43686322049319</c:v>
                </c:pt>
                <c:pt idx="16">
                  <c:v>256.70190014527691</c:v>
                </c:pt>
                <c:pt idx="17">
                  <c:v>271.95017401878283</c:v>
                </c:pt>
                <c:pt idx="18">
                  <c:v>286.88530718616556</c:v>
                </c:pt>
                <c:pt idx="19">
                  <c:v>301.24294838991074</c:v>
                </c:pt>
                <c:pt idx="20">
                  <c:v>314.87009857131898</c:v>
                </c:pt>
                <c:pt idx="21">
                  <c:v>327.74503829633449</c:v>
                </c:pt>
                <c:pt idx="22">
                  <c:v>339.95130329311894</c:v>
                </c:pt>
                <c:pt idx="23">
                  <c:v>351.63810095933212</c:v>
                </c:pt>
                <c:pt idx="24">
                  <c:v>2.9883156531963291</c:v>
                </c:pt>
                <c:pt idx="25">
                  <c:v>14.19897334392239</c:v>
                </c:pt>
                <c:pt idx="26">
                  <c:v>25.470436084203548</c:v>
                </c:pt>
                <c:pt idx="27">
                  <c:v>36.998418400371399</c:v>
                </c:pt>
                <c:pt idx="28">
                  <c:v>48.963162337947722</c:v>
                </c:pt>
                <c:pt idx="29">
                  <c:v>61.511134812396193</c:v>
                </c:pt>
                <c:pt idx="30">
                  <c:v>74.727439759167638</c:v>
                </c:pt>
                <c:pt idx="31">
                  <c:v>88.604116707494555</c:v>
                </c:pt>
                <c:pt idx="32">
                  <c:v>103.02051334806436</c:v>
                </c:pt>
                <c:pt idx="33">
                  <c:v>117.75838022159189</c:v>
                </c:pt>
                <c:pt idx="34">
                  <c:v>132.561497711968</c:v>
                </c:pt>
                <c:pt idx="35">
                  <c:v>147.21838236664115</c:v>
                </c:pt>
                <c:pt idx="36">
                  <c:v>161.62676426433015</c:v>
                </c:pt>
                <c:pt idx="37">
                  <c:v>175.81332582098162</c:v>
                </c:pt>
                <c:pt idx="38">
                  <c:v>189.91234735381317</c:v>
                </c:pt>
                <c:pt idx="39">
                  <c:v>204.12046065813823</c:v>
                </c:pt>
                <c:pt idx="40">
                  <c:v>218.63813848362278</c:v>
                </c:pt>
                <c:pt idx="41">
                  <c:v>233.59982313281316</c:v>
                </c:pt>
                <c:pt idx="42">
                  <c:v>249.00054814051219</c:v>
                </c:pt>
                <c:pt idx="43">
                  <c:v>264.65057931319308</c:v>
                </c:pt>
                <c:pt idx="44">
                  <c:v>280.20550745967239</c:v>
                </c:pt>
                <c:pt idx="45">
                  <c:v>295.28265388375752</c:v>
                </c:pt>
                <c:pt idx="46">
                  <c:v>309.59855472924983</c:v>
                </c:pt>
                <c:pt idx="47">
                  <c:v>323.04165185258773</c:v>
                </c:pt>
                <c:pt idx="48">
                  <c:v>335.65994316600927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11-3C41-96FA-72FFCC221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07998"/>
        <c:axId val="87423174"/>
      </c:scatterChart>
      <c:valAx>
        <c:axId val="65207998"/>
        <c:scaling>
          <c:orientation val="minMax"/>
          <c:min val="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87423174"/>
        <c:crosses val="autoZero"/>
        <c:crossBetween val="midCat"/>
      </c:valAx>
      <c:valAx>
        <c:axId val="87423174"/>
        <c:scaling>
          <c:orientation val="minMax"/>
          <c:max val="360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65207998"/>
        <c:crosses val="autoZero"/>
        <c:crossBetween val="midCat"/>
        <c:majorUnit val="60"/>
      </c:valAx>
      <c:spPr>
        <a:noFill/>
        <a:ln w="0"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de-DE" sz="1200" b="0" strike="noStrike" spc="-1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layout>
        <c:manualLayout>
          <c:xMode val="edge"/>
          <c:yMode val="edge"/>
          <c:x val="0.380913780397937"/>
          <c:y val="7.1633237822349601E-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94473102431797E-2"/>
          <c:y val="9.5988538681948399E-2"/>
          <c:w val="0.87671333824613096"/>
          <c:h val="0.79871060171919805"/>
        </c:manualLayout>
      </c:layout>
      <c:scatterChart>
        <c:scatterStyle val="lineMarker"/>
        <c:varyColors val="0"/>
        <c:ser>
          <c:idx val="0"/>
          <c:order val="0"/>
          <c:spPr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illum'!$K$2:$K$33</c:f>
              <c:numCache>
                <c:formatCode>0.00</c:formatCode>
                <c:ptCount val="32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</c:numCache>
            </c:numRef>
          </c:xVal>
          <c:yVal>
            <c:numRef>
              <c:f>'elev  az  illum'!$I$2:$I$33</c:f>
              <c:numCache>
                <c:formatCode>#,##0.00</c:formatCode>
                <c:ptCount val="32"/>
                <c:pt idx="0">
                  <c:v>4.260611662721109</c:v>
                </c:pt>
                <c:pt idx="1">
                  <c:v>9.0219878205065989</c:v>
                </c:pt>
                <c:pt idx="2">
                  <c:v>15.4377739115303</c:v>
                </c:pt>
                <c:pt idx="3">
                  <c:v>23.332753960237234</c:v>
                </c:pt>
                <c:pt idx="4">
                  <c:v>32.492336627047735</c:v>
                </c:pt>
                <c:pt idx="5">
                  <c:v>42.651815041788936</c:v>
                </c:pt>
                <c:pt idx="6">
                  <c:v>53.471271803311851</c:v>
                </c:pt>
                <c:pt idx="7">
                  <c:v>64.502000981634339</c:v>
                </c:pt>
                <c:pt idx="8">
                  <c:v>75.161849349546927</c:v>
                </c:pt>
                <c:pt idx="9">
                  <c:v>84.744547632822133</c:v>
                </c:pt>
                <c:pt idx="10">
                  <c:v>92.483314640254207</c:v>
                </c:pt>
                <c:pt idx="11">
                  <c:v>97.668224066067751</c:v>
                </c:pt>
                <c:pt idx="12">
                  <c:v>99.788008462532858</c:v>
                </c:pt>
                <c:pt idx="13">
                  <c:v>98.646931177976938</c:v>
                </c:pt>
                <c:pt idx="14">
                  <c:v>94.409888834976627</c:v>
                </c:pt>
                <c:pt idx="15">
                  <c:v>87.555651522431035</c:v>
                </c:pt>
                <c:pt idx="16">
                  <c:v>78.757374965016709</c:v>
                </c:pt>
                <c:pt idx="17">
                  <c:v>68.739918794460593</c:v>
                </c:pt>
                <c:pt idx="18">
                  <c:v>58.16638624799468</c:v>
                </c:pt>
                <c:pt idx="19">
                  <c:v>47.582013542981969</c:v>
                </c:pt>
                <c:pt idx="20">
                  <c:v>37.411678578629129</c:v>
                </c:pt>
                <c:pt idx="21">
                  <c:v>27.987834126895596</c:v>
                </c:pt>
                <c:pt idx="22">
                  <c:v>19.5840677554183</c:v>
                </c:pt>
                <c:pt idx="23">
                  <c:v>12.438901393788605</c:v>
                </c:pt>
                <c:pt idx="24">
                  <c:v>6.7655507860332307</c:v>
                </c:pt>
                <c:pt idx="25">
                  <c:v>2.7505602559291464</c:v>
                </c:pt>
                <c:pt idx="26">
                  <c:v>0.5464272687506877</c:v>
                </c:pt>
                <c:pt idx="27">
                  <c:v>0.26230156871200339</c:v>
                </c:pt>
                <c:pt idx="28">
                  <c:v>1.9550600958626208</c:v>
                </c:pt>
                <c:pt idx="29">
                  <c:v>5.6219782320242491</c:v>
                </c:pt>
                <c:pt idx="30">
                  <c:v>11.195645973024437</c:v>
                </c:pt>
                <c:pt idx="31">
                  <c:v>18.540644116339145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A8-BA46-A5A2-B0BDF533A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5625"/>
        <c:axId val="35683922"/>
      </c:scatterChart>
      <c:valAx>
        <c:axId val="16355625"/>
        <c:scaling>
          <c:orientation val="minMax"/>
          <c:max val="31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i="1" strike="noStrike" spc="-1">
                    <a:latin typeface="Arial"/>
                  </a:defRPr>
                </a:pPr>
                <a:r>
                  <a:rPr lang="de-DE" sz="1000" b="0" i="1" strike="noStrike" spc="-1">
                    <a:latin typeface="Arial"/>
                  </a:rPr>
                  <a:t>∆t / d</a:t>
                </a:r>
              </a:p>
            </c:rich>
          </c:tx>
          <c:layout>
            <c:manualLayout>
              <c:xMode val="edge"/>
              <c:yMode val="edge"/>
              <c:x val="0.75954310980103201"/>
              <c:y val="0.7404489016236870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5683922"/>
        <c:crosses val="autoZero"/>
        <c:crossBetween val="midCat"/>
        <c:majorUnit val="1"/>
      </c:valAx>
      <c:valAx>
        <c:axId val="35683922"/>
        <c:scaling>
          <c:orientation val="minMax"/>
          <c:max val="1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1" strike="noStrike" spc="-1">
                    <a:latin typeface="Arial"/>
                  </a:defRPr>
                </a:pPr>
                <a:r>
                  <a:rPr lang="de-DE" sz="1000" b="1" strike="noStrike" spc="-1">
                    <a:latin typeface="Arial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3640383198231401"/>
              <c:y val="0.104106972301815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16355625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4579570142892241E-2"/>
          <c:y val="4.0854668297926597E-2"/>
          <c:w val="0.8625999751158866"/>
          <c:h val="0.87327160155077299"/>
        </c:manualLayout>
      </c:layout>
      <c:scatterChart>
        <c:scatterStyle val="lineMarker"/>
        <c:varyColors val="0"/>
        <c:ser>
          <c:idx val="0"/>
          <c:order val="0"/>
          <c:spPr>
            <a:ln w="28800">
              <a:solidFill>
                <a:srgbClr val="FF0000"/>
              </a:solidFill>
              <a:round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Pt>
            <c:idx val="0"/>
            <c:marker>
              <c:symbol val="square"/>
              <c:size val="9"/>
              <c:spPr>
                <a:solidFill>
                  <a:srgbClr val="0000FF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B2F-1C4A-B9BA-4A9B656109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2F-1C4A-B9BA-4A9B656109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B2F-1C4A-B9BA-4A9B656109F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FB2F-1C4A-B9BA-4A9B656109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FB2F-1C4A-B9BA-4A9B656109F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FB2F-1C4A-B9BA-4A9B656109F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FB2F-1C4A-B9BA-4A9B656109F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FB2F-1C4A-B9BA-4A9B656109F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FB2F-1C4A-B9BA-4A9B656109F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FB2F-1C4A-B9BA-4A9B656109F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FB2F-1C4A-B9BA-4A9B656109F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FB2F-1C4A-B9BA-4A9B656109F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C-FB2F-1C4A-B9BA-4A9B656109F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FB2F-1C4A-B9BA-4A9B656109F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FB2F-1C4A-B9BA-4A9B656109F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FB2F-1C4A-B9BA-4A9B656109F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0-FB2F-1C4A-B9BA-4A9B656109F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1-FB2F-1C4A-B9BA-4A9B656109F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2-FB2F-1C4A-B9BA-4A9B656109F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3-FB2F-1C4A-B9BA-4A9B656109F1}"/>
              </c:ext>
            </c:extLst>
          </c:dPt>
          <c:dPt>
            <c:idx val="30"/>
            <c:marker>
              <c:symbol val="square"/>
              <c:size val="9"/>
              <c:spPr>
                <a:solidFill>
                  <a:srgbClr val="00AE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FB2F-1C4A-B9BA-4A9B656109F1}"/>
              </c:ext>
            </c:extLst>
          </c:dPt>
          <c:xVal>
            <c:numRef>
              <c:f>Analemma1!$E$3:$E$33</c:f>
              <c:numCache>
                <c:formatCode>#,##0.00</c:formatCode>
                <c:ptCount val="31"/>
                <c:pt idx="0">
                  <c:v>180.32002311537519</c:v>
                </c:pt>
                <c:pt idx="1">
                  <c:v>183.54859671035501</c:v>
                </c:pt>
                <c:pt idx="2">
                  <c:v>186.51301956798125</c:v>
                </c:pt>
                <c:pt idx="3">
                  <c:v>188.75936624232327</c:v>
                </c:pt>
                <c:pt idx="4">
                  <c:v>189.78060842918586</c:v>
                </c:pt>
                <c:pt idx="5">
                  <c:v>189.19037883214651</c:v>
                </c:pt>
                <c:pt idx="6">
                  <c:v>187.01136348762321</c:v>
                </c:pt>
                <c:pt idx="7">
                  <c:v>183.85860002793061</c:v>
                </c:pt>
                <c:pt idx="8">
                  <c:v>180.68008057037616</c:v>
                </c:pt>
                <c:pt idx="9">
                  <c:v>178.18722453189093</c:v>
                </c:pt>
                <c:pt idx="10">
                  <c:v>176.56241252853619</c:v>
                </c:pt>
                <c:pt idx="11">
                  <c:v>175.5979843604992</c:v>
                </c:pt>
                <c:pt idx="12">
                  <c:v>174.95309474666089</c:v>
                </c:pt>
                <c:pt idx="13">
                  <c:v>174.32136616333668</c:v>
                </c:pt>
                <c:pt idx="14">
                  <c:v>173.50376878185864</c:v>
                </c:pt>
                <c:pt idx="15">
                  <c:v>172.43045433374959</c:v>
                </c:pt>
                <c:pt idx="16">
                  <c:v>171.15510521923903</c:v>
                </c:pt>
                <c:pt idx="17">
                  <c:v>169.8270394319668</c:v>
                </c:pt>
                <c:pt idx="18">
                  <c:v>168.64533764563157</c:v>
                </c:pt>
                <c:pt idx="19">
                  <c:v>167.80802553697742</c:v>
                </c:pt>
                <c:pt idx="20">
                  <c:v>167.47326706743178</c:v>
                </c:pt>
                <c:pt idx="21">
                  <c:v>167.74162990189274</c:v>
                </c:pt>
                <c:pt idx="22">
                  <c:v>168.65599946964238</c:v>
                </c:pt>
                <c:pt idx="23">
                  <c:v>170.20901106972894</c:v>
                </c:pt>
                <c:pt idx="24">
                  <c:v>172.34882882474722</c:v>
                </c:pt>
                <c:pt idx="25">
                  <c:v>174.97820020143723</c:v>
                </c:pt>
                <c:pt idx="26">
                  <c:v>177.94527766741521</c:v>
                </c:pt>
                <c:pt idx="27">
                  <c:v>181.02758744084286</c:v>
                </c:pt>
                <c:pt idx="28">
                  <c:v>183.91519526438947</c:v>
                </c:pt>
                <c:pt idx="29">
                  <c:v>186.20934776934183</c:v>
                </c:pt>
                <c:pt idx="30">
                  <c:v>187.4706347786763</c:v>
                </c:pt>
              </c:numCache>
            </c:numRef>
          </c:xVal>
          <c:yVal>
            <c:numRef>
              <c:f>Analemma1!$D$3:$D$33</c:f>
              <c:numCache>
                <c:formatCode>0.00</c:formatCode>
                <c:ptCount val="31"/>
                <c:pt idx="0">
                  <c:v>46.586159553269994</c:v>
                </c:pt>
                <c:pt idx="1">
                  <c:v>51.155070437167197</c:v>
                </c:pt>
                <c:pt idx="2">
                  <c:v>55.222071777594643</c:v>
                </c:pt>
                <c:pt idx="3">
                  <c:v>58.63072590063453</c:v>
                </c:pt>
                <c:pt idx="4">
                  <c:v>61.214018842797415</c:v>
                </c:pt>
                <c:pt idx="5">
                  <c:v>62.771133710177409</c:v>
                </c:pt>
                <c:pt idx="6">
                  <c:v>63.067272121959071</c:v>
                </c:pt>
                <c:pt idx="7">
                  <c:v>61.892140394452973</c:v>
                </c:pt>
                <c:pt idx="8">
                  <c:v>59.163313054658886</c:v>
                </c:pt>
                <c:pt idx="9">
                  <c:v>54.990434146296117</c:v>
                </c:pt>
                <c:pt idx="10">
                  <c:v>49.653797307909109</c:v>
                </c:pt>
                <c:pt idx="11">
                  <c:v>43.543669552669542</c:v>
                </c:pt>
                <c:pt idx="12">
                  <c:v>37.109092054110313</c:v>
                </c:pt>
                <c:pt idx="13">
                  <c:v>30.819964957703601</c:v>
                </c:pt>
                <c:pt idx="14">
                  <c:v>25.130027243221662</c:v>
                </c:pt>
                <c:pt idx="15">
                  <c:v>20.435202712599029</c:v>
                </c:pt>
                <c:pt idx="16">
                  <c:v>17.032165052502602</c:v>
                </c:pt>
                <c:pt idx="17">
                  <c:v>15.088960300867072</c:v>
                </c:pt>
                <c:pt idx="18">
                  <c:v>14.639492881537475</c:v>
                </c:pt>
                <c:pt idx="19">
                  <c:v>15.603568310205198</c:v>
                </c:pt>
                <c:pt idx="20">
                  <c:v>17.820394126533916</c:v>
                </c:pt>
                <c:pt idx="21">
                  <c:v>21.081481843393366</c:v>
                </c:pt>
                <c:pt idx="22">
                  <c:v>25.156510028613368</c:v>
                </c:pt>
                <c:pt idx="23">
                  <c:v>29.810661574355816</c:v>
                </c:pt>
                <c:pt idx="24">
                  <c:v>34.814639590779279</c:v>
                </c:pt>
                <c:pt idx="25">
                  <c:v>39.949969039943042</c:v>
                </c:pt>
                <c:pt idx="26">
                  <c:v>45.011565682502095</c:v>
                </c:pt>
                <c:pt idx="27">
                  <c:v>49.808103589306263</c:v>
                </c:pt>
                <c:pt idx="28">
                  <c:v>54.159472650360456</c:v>
                </c:pt>
                <c:pt idx="29">
                  <c:v>57.889922943576622</c:v>
                </c:pt>
                <c:pt idx="30">
                  <c:v>60.816530441028974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B2F-1C4A-B9BA-4A9B65610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00137"/>
        <c:axId val="191353"/>
      </c:scatterChart>
      <c:valAx>
        <c:axId val="66600137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sz="1200" b="1" strike="noStrike" spc="-1">
                    <a:latin typeface="Arial"/>
                  </a:defRPr>
                </a:pPr>
                <a:r>
                  <a:rPr lang="de-DE" sz="1200" b="1" strike="noStrike" spc="-1">
                    <a:latin typeface="Arial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85530937584436595"/>
              <c:y val="0.85298512773073398"/>
            </c:manualLayout>
          </c:layout>
          <c:overlay val="0"/>
          <c:spPr>
            <a:noFill/>
            <a:ln w="0">
              <a:noFill/>
            </a:ln>
          </c:spPr>
        </c:title>
        <c:numFmt formatCode="#,###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191353"/>
        <c:crosses val="autoZero"/>
        <c:crossBetween val="midCat"/>
      </c:valAx>
      <c:valAx>
        <c:axId val="19135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sz="1200" b="1" strike="noStrike" spc="-1">
                    <a:latin typeface="Arial"/>
                  </a:defRPr>
                </a:pPr>
                <a:r>
                  <a:rPr lang="de-DE" sz="1200" b="1" strike="noStrike" spc="-1">
                    <a:latin typeface="Arial"/>
                  </a:rPr>
                  <a:t>elev</a:t>
                </a:r>
              </a:p>
            </c:rich>
          </c:tx>
          <c:layout>
            <c:manualLayout>
              <c:xMode val="edge"/>
              <c:yMode val="edge"/>
              <c:x val="0.15455282356120001"/>
              <c:y val="0.102611542019498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6660013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r>
              <a:rPr lang="de-DE" sz="1200" b="0" strike="noStrike" spc="-1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layout>
        <c:manualLayout>
          <c:xMode val="edge"/>
          <c:yMode val="edge"/>
          <c:x val="0.38100671140939602"/>
          <c:y val="7.3994510084735704E-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83892617449694E-2"/>
          <c:y val="9.60735171261487E-2"/>
          <c:w val="0.80624161073825495"/>
          <c:h val="0.79890201694713003"/>
        </c:manualLayout>
      </c:layout>
      <c:scatterChart>
        <c:scatterStyle val="lineMarker"/>
        <c:varyColors val="0"/>
        <c:ser>
          <c:idx val="0"/>
          <c:order val="0"/>
          <c:spPr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0-398E-A349-9218-E0B0773E4D74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01-398E-A349-9218-E0B0773E4D74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2-398E-A349-9218-E0B0773E4D74}"/>
              </c:ext>
            </c:extLst>
          </c:dPt>
          <c:dLbls>
            <c:dLbl>
              <c:idx val="48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E-A349-9218-E0B0773E4D74}"/>
                </c:ext>
              </c:extLst>
            </c:dLbl>
            <c:dLbl>
              <c:idx val="49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E-A349-9218-E0B0773E4D74}"/>
                </c:ext>
              </c:extLst>
            </c:dLbl>
            <c:dLbl>
              <c:idx val="50"/>
              <c:spPr/>
              <c:txPr>
                <a:bodyPr wrap="none"/>
                <a:lstStyle/>
                <a:p>
                  <a:pPr>
                    <a:defRPr sz="1000" b="0" strike="noStrike" spc="-1">
                      <a:latin typeface="Arial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E-A349-9218-E0B0773E4D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'elev  az  illum'!$K$2:$K$63</c:f>
              <c:numCache>
                <c:formatCode>0.00</c:formatCode>
                <c:ptCount val="62"/>
                <c:pt idx="0">
                  <c:v>0</c:v>
                </c:pt>
                <c:pt idx="1">
                  <c:v>1.0350497667677701</c:v>
                </c:pt>
                <c:pt idx="2">
                  <c:v>2.0700995335355401</c:v>
                </c:pt>
                <c:pt idx="3">
                  <c:v>3.1051493003033102</c:v>
                </c:pt>
                <c:pt idx="4">
                  <c:v>4.1401990670710802</c:v>
                </c:pt>
                <c:pt idx="5">
                  <c:v>5.1752488338388503</c:v>
                </c:pt>
                <c:pt idx="6">
                  <c:v>6.2102986006066203</c:v>
                </c:pt>
                <c:pt idx="7">
                  <c:v>7.2453483673743904</c:v>
                </c:pt>
                <c:pt idx="8">
                  <c:v>8.2803981341421604</c:v>
                </c:pt>
                <c:pt idx="9">
                  <c:v>9.3154479009099305</c:v>
                </c:pt>
                <c:pt idx="10">
                  <c:v>10.350497667677701</c:v>
                </c:pt>
                <c:pt idx="11">
                  <c:v>11.385547434445471</c:v>
                </c:pt>
                <c:pt idx="12">
                  <c:v>12.420597201213241</c:v>
                </c:pt>
                <c:pt idx="13">
                  <c:v>13.455646967981011</c:v>
                </c:pt>
                <c:pt idx="14">
                  <c:v>14.490696734748781</c:v>
                </c:pt>
                <c:pt idx="15">
                  <c:v>15.525746501516551</c:v>
                </c:pt>
                <c:pt idx="16">
                  <c:v>16.560796268284321</c:v>
                </c:pt>
                <c:pt idx="17">
                  <c:v>17.595846035052091</c:v>
                </c:pt>
                <c:pt idx="18">
                  <c:v>18.630895801819861</c:v>
                </c:pt>
                <c:pt idx="19">
                  <c:v>19.665945568587631</c:v>
                </c:pt>
                <c:pt idx="20">
                  <c:v>20.700995335355401</c:v>
                </c:pt>
                <c:pt idx="21">
                  <c:v>21.736045102123171</c:v>
                </c:pt>
                <c:pt idx="22">
                  <c:v>22.771094868890941</c:v>
                </c:pt>
                <c:pt idx="23">
                  <c:v>23.806144635658711</c:v>
                </c:pt>
                <c:pt idx="24">
                  <c:v>24.841194402426481</c:v>
                </c:pt>
                <c:pt idx="25">
                  <c:v>25.876244169194251</c:v>
                </c:pt>
                <c:pt idx="26">
                  <c:v>26.911293935962021</c:v>
                </c:pt>
                <c:pt idx="27">
                  <c:v>27.946343702729791</c:v>
                </c:pt>
                <c:pt idx="28">
                  <c:v>28.981393469497561</c:v>
                </c:pt>
                <c:pt idx="29">
                  <c:v>30.016443236265332</c:v>
                </c:pt>
                <c:pt idx="30">
                  <c:v>31.051493003033102</c:v>
                </c:pt>
                <c:pt idx="31">
                  <c:v>32.086542769800872</c:v>
                </c:pt>
                <c:pt idx="32">
                  <c:v>33.121592536568642</c:v>
                </c:pt>
                <c:pt idx="33">
                  <c:v>34.156642303336412</c:v>
                </c:pt>
                <c:pt idx="34">
                  <c:v>35.191692070104182</c:v>
                </c:pt>
                <c:pt idx="35">
                  <c:v>36.226741836871952</c:v>
                </c:pt>
                <c:pt idx="36">
                  <c:v>37.261791603639722</c:v>
                </c:pt>
                <c:pt idx="37">
                  <c:v>38.296841370407492</c:v>
                </c:pt>
                <c:pt idx="38">
                  <c:v>39.331891137175262</c:v>
                </c:pt>
                <c:pt idx="39">
                  <c:v>40.366940903943032</c:v>
                </c:pt>
                <c:pt idx="40">
                  <c:v>41.401990670710802</c:v>
                </c:pt>
                <c:pt idx="41">
                  <c:v>42.437040437478572</c:v>
                </c:pt>
                <c:pt idx="42">
                  <c:v>43.472090204246342</c:v>
                </c:pt>
                <c:pt idx="43">
                  <c:v>44.507139971014112</c:v>
                </c:pt>
                <c:pt idx="44">
                  <c:v>45.542189737781882</c:v>
                </c:pt>
                <c:pt idx="45">
                  <c:v>46.577239504549652</c:v>
                </c:pt>
                <c:pt idx="46">
                  <c:v>47.612289271317422</c:v>
                </c:pt>
                <c:pt idx="47">
                  <c:v>48.647339038085192</c:v>
                </c:pt>
                <c:pt idx="48">
                  <c:v>49.682388804852962</c:v>
                </c:pt>
                <c:pt idx="49">
                  <c:v>50.717438571620733</c:v>
                </c:pt>
                <c:pt idx="50">
                  <c:v>51.752488338388503</c:v>
                </c:pt>
                <c:pt idx="51">
                  <c:v>52.787538105156273</c:v>
                </c:pt>
                <c:pt idx="52">
                  <c:v>53.822587871924043</c:v>
                </c:pt>
                <c:pt idx="53">
                  <c:v>54.857637638691813</c:v>
                </c:pt>
                <c:pt idx="54">
                  <c:v>55.892687405459583</c:v>
                </c:pt>
                <c:pt idx="55">
                  <c:v>56.927737172227353</c:v>
                </c:pt>
                <c:pt idx="56">
                  <c:v>57.962786938995123</c:v>
                </c:pt>
                <c:pt idx="57">
                  <c:v>58.997836705762893</c:v>
                </c:pt>
                <c:pt idx="58">
                  <c:v>60.032886472530663</c:v>
                </c:pt>
                <c:pt idx="59">
                  <c:v>61.067936239298433</c:v>
                </c:pt>
                <c:pt idx="60">
                  <c:v>62.102986006066203</c:v>
                </c:pt>
                <c:pt idx="61">
                  <c:v>63.138035772833973</c:v>
                </c:pt>
              </c:numCache>
            </c:numRef>
          </c:xVal>
          <c:yVal>
            <c:numRef>
              <c:f>'elev  az  illum'!$I$2:$I$63</c:f>
              <c:numCache>
                <c:formatCode>#,##0.00</c:formatCode>
                <c:ptCount val="62"/>
                <c:pt idx="0">
                  <c:v>4.260611662721109</c:v>
                </c:pt>
                <c:pt idx="1">
                  <c:v>9.0219878205065989</c:v>
                </c:pt>
                <c:pt idx="2">
                  <c:v>15.4377739115303</c:v>
                </c:pt>
                <c:pt idx="3">
                  <c:v>23.332753960237234</c:v>
                </c:pt>
                <c:pt idx="4">
                  <c:v>32.492336627047735</c:v>
                </c:pt>
                <c:pt idx="5">
                  <c:v>42.651815041788936</c:v>
                </c:pt>
                <c:pt idx="6">
                  <c:v>53.471271803311851</c:v>
                </c:pt>
                <c:pt idx="7">
                  <c:v>64.502000981634339</c:v>
                </c:pt>
                <c:pt idx="8">
                  <c:v>75.161849349546927</c:v>
                </c:pt>
                <c:pt idx="9">
                  <c:v>84.744547632822133</c:v>
                </c:pt>
                <c:pt idx="10">
                  <c:v>92.483314640254207</c:v>
                </c:pt>
                <c:pt idx="11">
                  <c:v>97.668224066067751</c:v>
                </c:pt>
                <c:pt idx="12">
                  <c:v>99.788008462532858</c:v>
                </c:pt>
                <c:pt idx="13">
                  <c:v>98.646931177976938</c:v>
                </c:pt>
                <c:pt idx="14">
                  <c:v>94.409888834976627</c:v>
                </c:pt>
                <c:pt idx="15">
                  <c:v>87.555651522431035</c:v>
                </c:pt>
                <c:pt idx="16">
                  <c:v>78.757374965016709</c:v>
                </c:pt>
                <c:pt idx="17">
                  <c:v>68.739918794460593</c:v>
                </c:pt>
                <c:pt idx="18">
                  <c:v>58.16638624799468</c:v>
                </c:pt>
                <c:pt idx="19">
                  <c:v>47.582013542981969</c:v>
                </c:pt>
                <c:pt idx="20">
                  <c:v>37.411678578629129</c:v>
                </c:pt>
                <c:pt idx="21">
                  <c:v>27.987834126895596</c:v>
                </c:pt>
                <c:pt idx="22">
                  <c:v>19.5840677554183</c:v>
                </c:pt>
                <c:pt idx="23">
                  <c:v>12.438901393788605</c:v>
                </c:pt>
                <c:pt idx="24">
                  <c:v>6.7655507860332307</c:v>
                </c:pt>
                <c:pt idx="25">
                  <c:v>2.7505602559291464</c:v>
                </c:pt>
                <c:pt idx="26">
                  <c:v>0.5464272687506877</c:v>
                </c:pt>
                <c:pt idx="27">
                  <c:v>0.26230156871200339</c:v>
                </c:pt>
                <c:pt idx="28">
                  <c:v>1.9550600958626208</c:v>
                </c:pt>
                <c:pt idx="29">
                  <c:v>5.6219782320242491</c:v>
                </c:pt>
                <c:pt idx="30">
                  <c:v>11.195645973024437</c:v>
                </c:pt>
                <c:pt idx="31">
                  <c:v>18.540644116339145</c:v>
                </c:pt>
                <c:pt idx="32">
                  <c:v>27.449466539234781</c:v>
                </c:pt>
                <c:pt idx="33">
                  <c:v>37.633727136855079</c:v>
                </c:pt>
                <c:pt idx="34">
                  <c:v>48.708425259016806</c:v>
                </c:pt>
                <c:pt idx="35">
                  <c:v>60.173363457188259</c:v>
                </c:pt>
                <c:pt idx="36">
                  <c:v>71.404641669887184</c:v>
                </c:pt>
                <c:pt idx="37">
                  <c:v>81.674818251123256</c:v>
                </c:pt>
                <c:pt idx="38">
                  <c:v>90.216533515742057</c:v>
                </c:pt>
                <c:pt idx="39">
                  <c:v>96.328859533833281</c:v>
                </c:pt>
                <c:pt idx="40">
                  <c:v>99.503087902427922</c:v>
                </c:pt>
                <c:pt idx="41">
                  <c:v>99.526143986320051</c:v>
                </c:pt>
                <c:pt idx="42">
                  <c:v>96.518768682341573</c:v>
                </c:pt>
                <c:pt idx="43">
                  <c:v>90.889370561101529</c:v>
                </c:pt>
                <c:pt idx="44">
                  <c:v>83.223242731288479</c:v>
                </c:pt>
                <c:pt idx="45">
                  <c:v>74.155276716554823</c:v>
                </c:pt>
                <c:pt idx="46">
                  <c:v>64.273107481211241</c:v>
                </c:pt>
                <c:pt idx="47">
                  <c:v>54.072092463990927</c:v>
                </c:pt>
                <c:pt idx="48">
                  <c:v>43.955351291445304</c:v>
                </c:pt>
                <c:pt idx="49">
                  <c:v>34.257663503322398</c:v>
                </c:pt>
                <c:pt idx="50">
                  <c:v>25.272935837953892</c:v>
                </c:pt>
                <c:pt idx="51">
                  <c:v>17.273764406326986</c:v>
                </c:pt>
                <c:pt idx="52">
                  <c:v>10.520461320549312</c:v>
                </c:pt>
                <c:pt idx="53">
                  <c:v>5.261607909569932</c:v>
                </c:pt>
                <c:pt idx="54">
                  <c:v>1.7284896126218641</c:v>
                </c:pt>
                <c:pt idx="55">
                  <c:v>0.12397937565064576</c:v>
                </c:pt>
                <c:pt idx="56">
                  <c:v>0.60548669639712838</c:v>
                </c:pt>
                <c:pt idx="57">
                  <c:v>3.2630269726239227</c:v>
                </c:pt>
                <c:pt idx="58">
                  <c:v>8.096383247128708</c:v>
                </c:pt>
                <c:pt idx="59">
                  <c:v>14.997028622532117</c:v>
                </c:pt>
                <c:pt idx="60">
                  <c:v>23.738801050614683</c:v>
                </c:pt>
                <c:pt idx="61">
                  <c:v>33.977039289788721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E-A349-9218-E0B0773E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22704"/>
        <c:axId val="83656832"/>
      </c:scatterChart>
      <c:valAx>
        <c:axId val="44622704"/>
        <c:scaling>
          <c:orientation val="minMax"/>
          <c:max val="63"/>
          <c:min val="0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i="1" strike="noStrike" spc="-1">
                    <a:latin typeface="Arial"/>
                  </a:defRPr>
                </a:pPr>
                <a:r>
                  <a:rPr lang="de-DE" sz="1000" b="0" i="1" strike="noStrike" spc="-1">
                    <a:latin typeface="Arial"/>
                  </a:rPr>
                  <a:t>∆t / d</a:t>
                </a:r>
              </a:p>
            </c:rich>
          </c:tx>
          <c:layout>
            <c:manualLayout>
              <c:xMode val="edge"/>
              <c:yMode val="edge"/>
              <c:x val="0.81590604026845603"/>
              <c:y val="0.7616660699367470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83656832"/>
        <c:crosses val="autoZero"/>
        <c:crossBetween val="midCat"/>
        <c:majorUnit val="3"/>
      </c:valAx>
      <c:valAx>
        <c:axId val="83656832"/>
        <c:scaling>
          <c:orientation val="minMax"/>
          <c:max val="1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1" strike="noStrike" spc="-1">
                    <a:latin typeface="Arial"/>
                  </a:defRPr>
                </a:pPr>
                <a:r>
                  <a:rPr lang="de-DE" sz="1000" b="1" strike="noStrike" spc="-1">
                    <a:latin typeface="Arial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36510067114094"/>
              <c:y val="0.104308390022676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4622704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110520</xdr:colOff>
      <xdr:row>12</xdr:row>
      <xdr:rowOff>16199</xdr:rowOff>
    </xdr:from>
    <xdr:to>
      <xdr:col>9</xdr:col>
      <xdr:colOff>520700</xdr:colOff>
      <xdr:row>42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310671</xdr:colOff>
      <xdr:row>12</xdr:row>
      <xdr:rowOff>45880</xdr:rowOff>
    </xdr:from>
    <xdr:to>
      <xdr:col>15</xdr:col>
      <xdr:colOff>673100</xdr:colOff>
      <xdr:row>28</xdr:row>
      <xdr:rowOff>177800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111600</xdr:rowOff>
    </xdr:from>
    <xdr:to>
      <xdr:col>7</xdr:col>
      <xdr:colOff>175320</xdr:colOff>
      <xdr:row>97</xdr:row>
      <xdr:rowOff>65880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465120</xdr:colOff>
      <xdr:row>12</xdr:row>
      <xdr:rowOff>146160</xdr:rowOff>
    </xdr:from>
    <xdr:to>
      <xdr:col>22</xdr:col>
      <xdr:colOff>4320</xdr:colOff>
      <xdr:row>36</xdr:row>
      <xdr:rowOff>79560</xdr:rowOff>
    </xdr:to>
    <xdr:graphicFrame macro="">
      <xdr:nvGraphicFramePr>
        <xdr:cNvPr id="5" name="Diagramm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0.59014</cdr:x>
      <cdr:y>0.32003</cdr:y>
    </cdr:from>
    <cdr:to>
      <cdr:x>0.8388</cdr:x>
      <cdr:y>0.36302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1F3043E-1265-8340-AC49-9261672C823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>
        <a:xfrm xmlns:a="http://schemas.openxmlformats.org/drawingml/2006/main">
          <a:off x="3097080" y="1570680"/>
          <a:ext cx="1305000" cy="210960"/>
        </a:xfrm>
        <a:prstGeom xmlns:a="http://schemas.openxmlformats.org/drawingml/2006/main" prst="rect">
          <a:avLst/>
        </a:prstGeom>
        <a:ln xmlns:a="http://schemas.openxmlformats.org/drawingml/2006/main" w="0">
          <a:noFill/>
        </a:ln>
      </cdr:spPr>
    </cdr:pic>
  </cdr:relSizeAnchor>
  <cdr:relSizeAnchor xmlns:cdr="http://schemas.openxmlformats.org/drawingml/2006/chartDrawing">
    <cdr:from>
      <cdr:x>0.69392</cdr:x>
      <cdr:y>0.14758</cdr:y>
    </cdr:from>
    <cdr:to>
      <cdr:x>0.95822</cdr:x>
      <cdr:y>0.19057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6843F716-B897-DC4C-948C-50DDB3C5B39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/>
      </cdr:blipFill>
      <cdr:spPr>
        <a:xfrm xmlns:a="http://schemas.openxmlformats.org/drawingml/2006/main">
          <a:off x="3641760" y="724320"/>
          <a:ext cx="1387080" cy="210960"/>
        </a:xfrm>
        <a:prstGeom xmlns:a="http://schemas.openxmlformats.org/drawingml/2006/main" prst="rect">
          <a:avLst/>
        </a:prstGeom>
        <a:ln xmlns:a="http://schemas.openxmlformats.org/drawingml/2006/main" w="0">
          <a:noFill/>
        </a:ln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0.85169</cdr:x>
      <cdr:y>0.8243</cdr:y>
    </cdr:from>
    <cdr:to>
      <cdr:x>0.96983</cdr:x>
      <cdr:y>0.89933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5468040" y="3714120"/>
          <a:ext cx="758520" cy="33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</a:ln>
      </cdr:spPr>
      <cdr:txBody>
        <a:bodyPr xmlns:a="http://schemas.openxmlformats.org/drawingml/2006/main" lIns="0" tIns="0" rIns="0" bIns="0" anchor="t">
          <a:noAutofit/>
        </a:bodyPr>
        <a:lstStyle xmlns:a="http://schemas.openxmlformats.org/drawingml/2006/main"/>
        <a:p xmlns:a="http://schemas.openxmlformats.org/drawingml/2006/main">
          <a:r>
            <a:rPr sz="1200" b="0" strike="noStrike" spc="-1">
              <a:latin typeface="Times New Roman"/>
            </a:rPr>
            <a:t>∆t / 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779040</xdr:colOff>
      <xdr:row>0</xdr:row>
      <xdr:rowOff>42480</xdr:rowOff>
    </xdr:from>
    <xdr:to>
      <xdr:col>19</xdr:col>
      <xdr:colOff>634320</xdr:colOff>
      <xdr:row>23</xdr:row>
      <xdr:rowOff>130680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515880</xdr:colOff>
      <xdr:row>23</xdr:row>
      <xdr:rowOff>92520</xdr:rowOff>
    </xdr:from>
    <xdr:to>
      <xdr:col>17</xdr:col>
      <xdr:colOff>608040</xdr:colOff>
      <xdr:row>42</xdr:row>
      <xdr:rowOff>179640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59760</xdr:colOff>
      <xdr:row>32</xdr:row>
      <xdr:rowOff>74520</xdr:rowOff>
    </xdr:from>
    <xdr:to>
      <xdr:col>11</xdr:col>
      <xdr:colOff>711720</xdr:colOff>
      <xdr:row>48</xdr:row>
      <xdr:rowOff>41400</xdr:rowOff>
    </xdr:to>
    <xdr:graphicFrame macro="">
      <xdr:nvGraphicFramePr>
        <xdr:cNvPr id="9" name="Diagramm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728640</xdr:colOff>
      <xdr:row>3</xdr:row>
      <xdr:rowOff>116280</xdr:rowOff>
    </xdr:from>
    <xdr:to>
      <xdr:col>16</xdr:col>
      <xdr:colOff>127000</xdr:colOff>
      <xdr:row>34</xdr:row>
      <xdr:rowOff>12700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716517</xdr:colOff>
      <xdr:row>4</xdr:row>
      <xdr:rowOff>146993</xdr:rowOff>
    </xdr:from>
    <xdr:to>
      <xdr:col>24</xdr:col>
      <xdr:colOff>430843</xdr:colOff>
      <xdr:row>20</xdr:row>
      <xdr:rowOff>114954</xdr:rowOff>
    </xdr:to>
    <xdr:graphicFrame macro="">
      <xdr:nvGraphicFramePr>
        <xdr:cNvPr id="11" name="Diagramm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13680</xdr:colOff>
      <xdr:row>3</xdr:row>
      <xdr:rowOff>74520</xdr:rowOff>
    </xdr:from>
    <xdr:to>
      <xdr:col>17</xdr:col>
      <xdr:colOff>360617</xdr:colOff>
      <xdr:row>38</xdr:row>
      <xdr:rowOff>156790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" displayName="dat" ref="G3:G33" totalsRowShown="0">
  <tableColumns count="1">
    <tableColumn id="1" xr3:uid="{00000000-0010-0000-0000-000001000000}" name="Spalte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llum" displayName="illum" ref="F3:F33" headerRowCount="0" totalsRowShown="0">
  <tableColumns count="1">
    <tableColumn id="1" xr3:uid="{00000000-0010-0000-0100-000001000000}" name="Spalte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4"/>
  <sheetViews>
    <sheetView tabSelected="1" zoomScaleNormal="100" workbookViewId="0">
      <selection activeCell="M35" sqref="M35"/>
    </sheetView>
  </sheetViews>
  <sheetFormatPr baseColWidth="10" defaultColWidth="9.6640625" defaultRowHeight="16"/>
  <cols>
    <col min="1" max="1" width="7.5" style="1" customWidth="1"/>
    <col min="2" max="2" width="13" style="1" customWidth="1"/>
    <col min="3" max="3" width="9" style="1" customWidth="1"/>
    <col min="4" max="4" width="9.5" style="1"/>
    <col min="5" max="5" width="12.1640625" style="1" customWidth="1"/>
    <col min="6" max="6" width="8.5" style="1" customWidth="1"/>
    <col min="7" max="7" width="6.33203125" style="1" customWidth="1"/>
    <col min="8" max="8" width="8.5" style="1" customWidth="1"/>
    <col min="9" max="9" width="11.83203125" style="1" customWidth="1"/>
    <col min="10" max="10" width="18.1640625" style="1" customWidth="1"/>
    <col min="11" max="11" width="16.1640625" style="1" customWidth="1"/>
    <col min="12" max="64" width="9.5" style="1"/>
  </cols>
  <sheetData>
    <row r="1" spans="1:6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>
      <c r="A2" s="4">
        <v>26</v>
      </c>
      <c r="B2" s="4">
        <v>3</v>
      </c>
      <c r="C2" s="4">
        <v>2020</v>
      </c>
      <c r="D2" s="4">
        <v>50</v>
      </c>
      <c r="E2" s="4">
        <v>10</v>
      </c>
      <c r="F2" s="5">
        <v>13</v>
      </c>
      <c r="G2" s="6">
        <v>0</v>
      </c>
      <c r="H2" s="7">
        <f>F2+G2/60</f>
        <v>13</v>
      </c>
      <c r="I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>
      <c r="C3" s="9" t="str">
        <f>IF(AND(MOD($C$2,4)=0,$C$2&lt;&gt;1700,$C$2&lt;&gt;1800,$C$2&lt;&gt;1900,$C$2&lt;&gt;2100,$C$2&lt;&gt;2200),"leap year","common year")</f>
        <v>leap year</v>
      </c>
    </row>
    <row r="4" spans="1:64">
      <c r="B4" s="10" t="s">
        <v>8</v>
      </c>
      <c r="C4"/>
      <c r="D4" s="11" t="s">
        <v>87</v>
      </c>
      <c r="E4"/>
    </row>
    <row r="5" spans="1:64">
      <c r="B5" s="10" t="s">
        <v>9</v>
      </c>
      <c r="D5"/>
      <c r="E5"/>
    </row>
    <row r="6" spans="1:64">
      <c r="B6" s="10" t="s">
        <v>10</v>
      </c>
      <c r="D6" s="12" t="s">
        <v>11</v>
      </c>
      <c r="E6" s="13"/>
      <c r="F6" s="13"/>
      <c r="G6" s="13"/>
      <c r="H6" s="13"/>
    </row>
    <row r="7" spans="1:64">
      <c r="B7" s="14" t="s">
        <v>12</v>
      </c>
    </row>
    <row r="8" spans="1:64">
      <c r="A8"/>
      <c r="B8" s="15">
        <v>44738</v>
      </c>
      <c r="C8"/>
    </row>
    <row r="9" spans="1:64">
      <c r="B9"/>
    </row>
    <row r="10" spans="1:64">
      <c r="B10" s="95" t="str">
        <f>Analemma1!$H$2</f>
        <v>begin</v>
      </c>
      <c r="C10" s="95"/>
      <c r="D10" s="96" t="str">
        <f>Analemma1!$J$2</f>
        <v>end</v>
      </c>
      <c r="E10" s="96"/>
      <c r="F10" s="58" t="s">
        <v>86</v>
      </c>
      <c r="G10" s="16" t="str">
        <f>Analemma1!$L$2</f>
        <v>Lat.</v>
      </c>
      <c r="H10" s="16" t="str">
        <f>Analemma1!$M$2</f>
        <v>Long.</v>
      </c>
      <c r="I10" s="17" t="str">
        <f>Analemma1!$N$2</f>
        <v>∆az/°</v>
      </c>
      <c r="J10" s="18" t="s">
        <v>13</v>
      </c>
    </row>
    <row r="11" spans="1:64">
      <c r="A11"/>
      <c r="B11" s="19" t="str">
        <f>Analemma1!$H$3</f>
        <v>2020  03-26    12:59:60</v>
      </c>
      <c r="C11" s="19"/>
      <c r="D11" s="20" t="str">
        <f>Analemma1!$J$3</f>
        <v>2020  04-26    14:14:09</v>
      </c>
      <c r="E11" s="20"/>
      <c r="F11" s="35">
        <f>calc!$K$32-calc!$K$2</f>
        <v>31.051493003033102</v>
      </c>
      <c r="G11" s="21">
        <f>Analemma1!$L$3</f>
        <v>50</v>
      </c>
      <c r="H11" s="21">
        <f>Analemma1!$M$3</f>
        <v>10</v>
      </c>
      <c r="I11" s="22">
        <f>Analemma1!$N$3</f>
        <v>22.51738546193701</v>
      </c>
      <c r="J11" s="23" t="str">
        <f>Analemma1!$G$1</f>
        <v>(13)  2020  04-07</v>
      </c>
    </row>
    <row r="12" spans="1:64">
      <c r="B12"/>
      <c r="C12"/>
      <c r="D12"/>
      <c r="E12"/>
      <c r="F12"/>
      <c r="G12"/>
      <c r="H12"/>
      <c r="I12"/>
      <c r="J12"/>
    </row>
    <row r="13" spans="1:64">
      <c r="B13"/>
      <c r="C13"/>
      <c r="D13"/>
      <c r="E13"/>
      <c r="F13"/>
      <c r="G13"/>
      <c r="H13"/>
      <c r="I13"/>
      <c r="J13"/>
    </row>
    <row r="14" spans="1:64">
      <c r="B14"/>
    </row>
  </sheetData>
  <mergeCells count="2">
    <mergeCell ref="B10:C10"/>
    <mergeCell ref="D10:E10"/>
  </mergeCells>
  <pageMargins left="0" right="0" top="0" bottom="0" header="0.511811023622047" footer="0.511811023622047"/>
  <pageSetup paperSize="9" orientation="portrait" useFirstPageNumber="1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9"/>
  <sheetViews>
    <sheetView zoomScale="81" zoomScaleNormal="81" workbookViewId="0">
      <selection activeCell="K67" sqref="K67"/>
    </sheetView>
  </sheetViews>
  <sheetFormatPr baseColWidth="10" defaultColWidth="9.6640625" defaultRowHeight="16"/>
  <cols>
    <col min="1" max="1" width="9.1640625" style="24" customWidth="1"/>
    <col min="2" max="2" width="4.33203125" style="13" customWidth="1"/>
    <col min="3" max="3" width="5.6640625" style="25" customWidth="1"/>
    <col min="4" max="4" width="5.6640625" style="26" customWidth="1"/>
    <col min="5" max="5" width="6" style="13" customWidth="1"/>
    <col min="6" max="6" width="12.6640625" style="13" customWidth="1"/>
    <col min="7" max="7" width="8.33203125" style="22" customWidth="1"/>
    <col min="8" max="8" width="9.83203125" style="27" customWidth="1"/>
    <col min="9" max="9" width="8.83203125" style="27" customWidth="1"/>
    <col min="10" max="10" width="9.5" style="28" customWidth="1"/>
    <col min="11" max="11" width="14.5" style="29" customWidth="1"/>
    <col min="12" max="12" width="9.6640625" style="30" customWidth="1"/>
    <col min="13" max="13" width="6.83203125" style="29" customWidth="1"/>
    <col min="14" max="14" width="8.1640625" style="31" customWidth="1"/>
    <col min="15" max="15" width="9.5" style="29"/>
    <col min="16" max="16" width="7.1640625" style="32" customWidth="1"/>
    <col min="17" max="20" width="5.6640625" style="32" customWidth="1"/>
    <col min="21" max="21" width="6.83203125" style="24" customWidth="1"/>
    <col min="22" max="22" width="7.1640625" style="22" customWidth="1"/>
    <col min="23" max="23" width="7.5" style="24" customWidth="1"/>
    <col min="24" max="24" width="7.83203125" style="25" customWidth="1"/>
    <col min="25" max="25" width="7" style="24" customWidth="1"/>
    <col min="26" max="26" width="5.5" style="24" customWidth="1"/>
    <col min="27" max="27" width="6.1640625" style="24" customWidth="1"/>
    <col min="28" max="28" width="6.5" style="24" customWidth="1"/>
    <col min="29" max="29" width="6" style="24" customWidth="1"/>
    <col min="30" max="30" width="6.1640625" style="24" customWidth="1"/>
    <col min="31" max="31" width="6.5" style="24" customWidth="1"/>
    <col min="32" max="32" width="6" style="29" customWidth="1"/>
    <col min="33" max="33" width="6.1640625" style="33" customWidth="1"/>
    <col min="34" max="34" width="6.83203125" style="25" customWidth="1"/>
    <col min="35" max="35" width="9.83203125" style="32" customWidth="1"/>
    <col min="36" max="36" width="7.33203125" style="24" customWidth="1"/>
    <col min="37" max="37" width="6" style="32" customWidth="1"/>
    <col min="38" max="38" width="9.1640625" style="24" customWidth="1"/>
    <col min="39" max="39" width="7.1640625" style="25" customWidth="1"/>
    <col min="40" max="40" width="7.83203125" style="13" customWidth="1"/>
    <col min="41" max="41" width="7.83203125" style="32" customWidth="1"/>
    <col min="42" max="42" width="6.5" style="34" customWidth="1"/>
    <col min="43" max="43" width="4.6640625" style="35" customWidth="1"/>
    <col min="44" max="44" width="5.33203125" style="35" customWidth="1"/>
    <col min="45" max="45" width="10" style="35" customWidth="1"/>
    <col min="46" max="46" width="14" style="13" customWidth="1"/>
    <col min="47" max="47" width="14.1640625" style="13" customWidth="1"/>
    <col min="48" max="48" width="12" style="13" customWidth="1"/>
    <col min="49" max="50" width="11.1640625" style="13" customWidth="1"/>
    <col min="51" max="51" width="9.5" style="13"/>
    <col min="52" max="52" width="35.1640625" style="13" customWidth="1"/>
    <col min="53" max="61" width="9.5" style="13"/>
  </cols>
  <sheetData>
    <row r="1" spans="1:61">
      <c r="A1" s="36" t="s">
        <v>14</v>
      </c>
      <c r="B1"/>
      <c r="C1" s="37" t="s">
        <v>7</v>
      </c>
      <c r="D1"/>
      <c r="E1"/>
      <c r="F1"/>
      <c r="G1" s="38" t="s">
        <v>15</v>
      </c>
      <c r="H1" s="37" t="s">
        <v>16</v>
      </c>
      <c r="I1" s="39" t="s">
        <v>17</v>
      </c>
      <c r="J1" s="38" t="s">
        <v>18</v>
      </c>
      <c r="K1" s="40" t="s">
        <v>19</v>
      </c>
      <c r="L1" s="41" t="s">
        <v>20</v>
      </c>
      <c r="M1" s="40" t="s">
        <v>21</v>
      </c>
      <c r="N1" s="42" t="s">
        <v>22</v>
      </c>
      <c r="O1" s="40" t="s">
        <v>23</v>
      </c>
      <c r="P1" s="43" t="s">
        <v>24</v>
      </c>
      <c r="Q1" s="43" t="s">
        <v>25</v>
      </c>
      <c r="R1" s="31" t="s">
        <v>26</v>
      </c>
      <c r="S1" s="32" t="s">
        <v>27</v>
      </c>
      <c r="T1" s="32" t="s">
        <v>28</v>
      </c>
      <c r="U1" s="24" t="s">
        <v>29</v>
      </c>
      <c r="V1" s="22" t="s">
        <v>30</v>
      </c>
      <c r="W1" s="10" t="s">
        <v>31</v>
      </c>
      <c r="X1" s="40" t="s">
        <v>32</v>
      </c>
      <c r="Y1" s="10" t="s">
        <v>33</v>
      </c>
      <c r="Z1" s="24" t="s">
        <v>34</v>
      </c>
      <c r="AA1" s="24" t="s">
        <v>35</v>
      </c>
      <c r="AB1" s="24" t="s">
        <v>36</v>
      </c>
      <c r="AC1" s="24" t="s">
        <v>37</v>
      </c>
      <c r="AD1" s="24" t="s">
        <v>38</v>
      </c>
      <c r="AE1" s="24" t="s">
        <v>39</v>
      </c>
      <c r="AF1" s="40" t="s">
        <v>40</v>
      </c>
      <c r="AG1" s="44" t="s">
        <v>41</v>
      </c>
      <c r="AH1" s="40" t="s">
        <v>42</v>
      </c>
      <c r="AI1" s="43" t="s">
        <v>43</v>
      </c>
      <c r="AJ1" s="10" t="s">
        <v>44</v>
      </c>
      <c r="AK1" s="43" t="s">
        <v>45</v>
      </c>
      <c r="AL1" s="10" t="s">
        <v>46</v>
      </c>
      <c r="AM1" s="40" t="s">
        <v>47</v>
      </c>
      <c r="AN1" s="43" t="s">
        <v>48</v>
      </c>
      <c r="AO1" s="43" t="s">
        <v>49</v>
      </c>
      <c r="AP1" s="22" t="s">
        <v>50</v>
      </c>
      <c r="AQ1" s="45">
        <v>1</v>
      </c>
      <c r="AR1" s="45">
        <v>2</v>
      </c>
      <c r="AS1" s="35" t="s">
        <v>51</v>
      </c>
      <c r="BA1" s="10"/>
      <c r="BB1" s="10"/>
      <c r="BC1" s="10"/>
      <c r="BD1" s="10"/>
      <c r="BE1" s="10"/>
      <c r="BF1" s="10"/>
      <c r="BG1" s="10"/>
      <c r="BH1" s="10"/>
      <c r="BI1" s="10"/>
    </row>
    <row r="2" spans="1:61">
      <c r="A2" s="46">
        <f>PI()/180</f>
        <v>1.7453292519943295E-2</v>
      </c>
      <c r="B2"/>
      <c r="C2" s="47">
        <f>input!$H$2</f>
        <v>13</v>
      </c>
      <c r="D2" s="97" t="str">
        <f>caldat!$T$2</f>
        <v>2020  03-26    12:59:60</v>
      </c>
      <c r="E2" s="97"/>
      <c r="F2" s="97"/>
      <c r="G2" s="38">
        <f t="shared" ref="G2:G33" si="0">AL2</f>
        <v>46.570178441864925</v>
      </c>
      <c r="H2" s="37">
        <f t="shared" ref="H2:H33" si="1">G2+1.02/(TAN($A$2*(G2+10.3/(G2+5.11)))*60)</f>
        <v>46.586159553269994</v>
      </c>
      <c r="I2" s="38">
        <f t="shared" ref="I2:I33" si="2">100*(1+COS($A$2*AP2))/2</f>
        <v>4.260611662721109</v>
      </c>
      <c r="J2" s="38">
        <f t="shared" ref="J2:J33" si="3">IF(AH2&gt;180, AS2-180,AS2+180)</f>
        <v>180.32002311537519</v>
      </c>
      <c r="K2" s="25">
        <f>INT(365.25*IF(A7&gt;2,A9+4716,A9-1+4716))+INT(30.6001*IF(A7&gt;2,A7+1,A7+12+1))+A5+C2/24+2-INT(IF(A7&gt;2,A9,A9-1)/100)+INT(INT(IF(A7&gt;2,A9,A9-1)/100)/4)-1524.5</f>
        <v>2458935.0416666665</v>
      </c>
      <c r="L2" s="49">
        <f t="shared" ref="L2:L33" si="4">(K2-2451545)/36525</f>
        <v>0.20232831394021933</v>
      </c>
      <c r="M2" s="25">
        <f>MOD(280.46061837+360.98564736629*(K2-2451545)+0.000387933*L2^2-L2^3/38710000+input!$E$2,360)</f>
        <v>29.43573971837759</v>
      </c>
      <c r="N2" s="31">
        <f t="shared" ref="N2:N33" si="5">0.606433+1336.855225*L2 - INT(0.606433+1336.855225*L2)</f>
        <v>9.0096656422531396E-2</v>
      </c>
      <c r="O2" s="25">
        <f t="shared" ref="O2:O33" si="6">22640*SIN(P2)-4586*SIN(P2-2*R2)+2370*SIN(2*R2)+769*SIN(2*P2)-668*SIN(Q2)-412*SIN(2*S2)-212*SIN(2*P2-2*R2)-206*SIN(P2+Q2-2*R2)+192*SIN(P2+2*R2)-165*SIN(Q2-2*R2)-125*SIN(R2)-110*SIN(P2+Q2)+148*SIN(P2-Q2)-55*SIN(2*S2-2*R2)</f>
        <v>-9820.9475086313087</v>
      </c>
      <c r="P2" s="32">
        <f t="shared" ref="P2:P33" si="7">2*PI()*(0.374897+1325.55241*L2 - INT(0.374897+1325.55241*L2))</f>
        <v>3.5919786315667972</v>
      </c>
      <c r="Q2" s="33">
        <f t="shared" ref="Q2:Q33" si="8">2*PI()*(0.993133+99.997361*L2 - INT(0.993133+99.997361*L2))</f>
        <v>1.4164212887266776</v>
      </c>
      <c r="R2" s="33">
        <f t="shared" ref="R2:R33" si="9">2*PI()*(0.827361+1236.853086*L2 - INT(0.827361+1236.853086*L2))</f>
        <v>0.48858351884308088</v>
      </c>
      <c r="S2" s="33">
        <f t="shared" ref="S2:S33" si="10">2*PI()*(0.259086+1342.227825*L2 - INT(0.259086+1342.227825*L2))</f>
        <v>5.2136536872667607</v>
      </c>
      <c r="T2" s="33">
        <f t="shared" ref="T2:T33" si="11">S2+(O2+412*SIN(2*S2)+541*SIN(Q2))/206264.8062</f>
        <v>5.1669485350361164</v>
      </c>
      <c r="U2" s="33">
        <f t="shared" ref="U2:U33" si="12">S2-2*R2</f>
        <v>4.2364866495805993</v>
      </c>
      <c r="V2" s="22">
        <f t="shared" ref="V2:V33" si="13">-526*SIN(U2)+44*SIN(P2+U2)-31*SIN(-P2+U2)-23*SIN(Q2+U2)+11*SIN(-Q2+U2)-25*SIN(-2*P2+S2)+21*SIN(-P2+S2)</f>
        <v>553.94723496274787</v>
      </c>
      <c r="W2" s="50">
        <f t="shared" ref="W2:W33" si="14">2*PI()*(N2+O2/1296000-INT(N2+O2/1296000))</f>
        <v>0.5184806907236259</v>
      </c>
      <c r="X2" s="25">
        <f t="shared" ref="X2:X33" si="15">W2/$A$2</f>
        <v>29.706755337491497</v>
      </c>
      <c r="Y2" s="50">
        <f t="shared" ref="Y2:Y33" si="16">(18520*SIN(T2)+V2)/206264.8062</f>
        <v>-7.7984365848188006E-2</v>
      </c>
      <c r="Z2" s="33">
        <f t="shared" ref="Z2:Z33" si="17">COS(Y2)*COS(W2)</f>
        <v>0.86593329038660094</v>
      </c>
      <c r="AA2" s="33">
        <f t="shared" ref="AA2:AA33" si="18">COS(Y2)*SIN(W2)</f>
        <v>0.49405495013578682</v>
      </c>
      <c r="AB2" s="33">
        <f t="shared" ref="AB2:AB33" si="19">SIN(Y2)</f>
        <v>-7.7905345429949369E-2</v>
      </c>
      <c r="AC2" s="33">
        <f t="shared" ref="AC2:AC33" si="20">COS($A$2*(23.4393-46.815*L2/3600))*AA2-SIN($A$2*(23.4393-46.815*L2/3600))*AB2</f>
        <v>0.48428124360911157</v>
      </c>
      <c r="AD2" s="33">
        <f t="shared" ref="AD2:AD33" si="21">SIN($A$2*(23.4393-46.815*L2/3600))*AA2+COS($A$2*(23.4393-46.815*L2/3600))*AB2</f>
        <v>0.12502485228404359</v>
      </c>
      <c r="AE2" s="33">
        <f t="shared" ref="AE2:AE33" si="22">SQRT(1-AD2*AD2)</f>
        <v>0.99215361023953996</v>
      </c>
      <c r="AF2" s="25">
        <f t="shared" ref="AF2:AF33" si="23">ATAN(AD2/AE2)/$A$2</f>
        <v>7.1821909712566194</v>
      </c>
      <c r="AG2" s="33">
        <f t="shared" ref="AG2:AG33" si="24">IF(24*ATAN(AC2/(Z2+AE2))/PI()&gt;0,24*ATAN(AC2/(Z2+AE2))/PI(),24*ATAN(AC2/(Z2+AE2))/PI()+24)</f>
        <v>1.9477672424024077</v>
      </c>
      <c r="AH2" s="25">
        <f t="shared" ref="AH2:AH33" si="25">IF(M2-15*AG2&gt;0,M2-15*AG2,360+M2-15*AG2)</f>
        <v>0.21923108234147293</v>
      </c>
      <c r="AI2" s="31">
        <f t="shared" ref="AI2:AI33" si="26">0.950724+0.051818*COS(P2)+0.009531*COS(2*R2-P2)+0.007843*COS(2*R2)+0.002824*COS(2*P2)+0.000857*COS(2*R2+P2)+0.000533*COS(2*R2-Q2)*(1-0.002495*(K2-2415020)/36525)+0.000401*COS(2*R2-Q2-P2)*(1-0.002495*(K2-2415020)/36525)+0.00032*COS(P2-Q2)*(1-0.002495*(K2-2415020)/36525)-0.000271*COS(R2)</f>
        <v>0.90166151324874177</v>
      </c>
      <c r="AJ2" s="33">
        <f>ASIN(COS($A$2*input!$D$2)*COS($A$2*AF2)*COS($A$2*AH2)+SIN($A$2*input!$D$2)*SIN($A$2*AF2))/$A$2</f>
        <v>47.181797422788051</v>
      </c>
      <c r="AK2" s="32">
        <f>ASIN((0.9983271+0.0016764*COS($A$2*2*input!$D$2))*COS($A$2*AJ2)*SIN($A$2*AI2))/$A$2</f>
        <v>0.61161898092312417</v>
      </c>
      <c r="AL2" s="32">
        <f t="shared" ref="AL2:AL33" si="27">AJ2-AK2</f>
        <v>46.570178441864925</v>
      </c>
      <c r="AM2" s="25">
        <f t="shared" ref="AM2:AM33" si="28">MOD(280.4664567 + 360007.6982779*L2/10 + 0.03032028*L2^2/100 + L2^3/49931000,360)</f>
        <v>4.441528918971926</v>
      </c>
      <c r="AN2" s="32">
        <f t="shared" ref="AN2:AN33" si="29">AM2 + (1.9146 - 0.004817*L2 - 0.000014*L2^2)*SIN(Q2)+ (0.019993 - 0.000101*L2)*SIN(2*Q2)+ 0.00029*SIN(3*Q2)</f>
        <v>6.3382061315115017</v>
      </c>
      <c r="AO2" s="32">
        <f t="shared" ref="AO2:AO33" si="30">ACOS(COS(W2-$A$2*AN2)*COS(Y2))/$A$2</f>
        <v>23.768334955934016</v>
      </c>
      <c r="AP2" s="22">
        <f t="shared" ref="AP2:AP33" si="31">180 - AO2 -0.1468*(1-0.0549*SIN(Q2))*SIN($A$2*AO2)/(1-0.0167*SIN($A$2*AN2))</f>
        <v>156.17560507714461</v>
      </c>
      <c r="AQ2" s="51">
        <f t="shared" ref="AQ2:AQ33" si="32">SIN($A$2*AH2)</f>
        <v>3.8262948730089451E-3</v>
      </c>
      <c r="AR2" s="51">
        <f>COS($A$2*AH2)*SIN($A$2*input!$D$2) - TAN($A$2*AF2)*COS($A$2*input!$D$2)</f>
        <v>0.68503885205783488</v>
      </c>
      <c r="AS2" s="51">
        <f t="shared" ref="AS2:AS33" si="33">IF(OR(AND(AQ2*AR2&gt;0), AND(AQ2&lt;0,AR2&gt;0)), MOD(ATAN2(AR2,AQ2)/$A$2+360,360),  ATAN2(AR2,AQ2)/$A$2)</f>
        <v>0.3200231153751929</v>
      </c>
      <c r="BA2" s="52"/>
      <c r="BB2" s="52"/>
      <c r="BC2" s="52"/>
      <c r="BD2" s="52"/>
      <c r="BE2" s="52"/>
      <c r="BF2" s="52"/>
      <c r="BG2" s="52"/>
      <c r="BH2" s="52"/>
      <c r="BI2" s="52"/>
    </row>
    <row r="3" spans="1:61">
      <c r="A3"/>
      <c r="B3"/>
      <c r="C3" s="17">
        <f t="shared" ref="C3:C34" si="34">MOD(C2+50/60+28.3/3600,24)</f>
        <v>13.841194444444445</v>
      </c>
      <c r="D3" s="97" t="str">
        <f>caldat!$T$3</f>
        <v>2020  03-27    13:50:28,3</v>
      </c>
      <c r="E3" s="97"/>
      <c r="F3" s="97"/>
      <c r="G3" s="38">
        <f t="shared" si="0"/>
        <v>51.14146283360369</v>
      </c>
      <c r="H3" s="37">
        <f t="shared" si="1"/>
        <v>51.155070437167197</v>
      </c>
      <c r="I3" s="38">
        <f t="shared" si="2"/>
        <v>9.0219878205065989</v>
      </c>
      <c r="J3" s="38">
        <f t="shared" si="3"/>
        <v>183.54859671035501</v>
      </c>
      <c r="K3" s="25">
        <f t="shared" ref="K3:K34" si="35">K2+24.8411944/24</f>
        <v>2458936.0767164333</v>
      </c>
      <c r="L3" s="49">
        <f t="shared" si="4"/>
        <v>0.202356652058406</v>
      </c>
      <c r="M3" s="25">
        <f>MOD(280.46061837+360.98564736629*(K3-2451545)+0.000387933*L3^2-L3^3/38710000+input!$E$2,360)</f>
        <v>43.073849835433066</v>
      </c>
      <c r="N3" s="31">
        <f t="shared" si="5"/>
        <v>0.1279806177870455</v>
      </c>
      <c r="O3" s="25">
        <f t="shared" si="6"/>
        <v>-14474.866896615124</v>
      </c>
      <c r="P3" s="32">
        <f t="shared" si="7"/>
        <v>3.8279980735485584</v>
      </c>
      <c r="Q3" s="33">
        <f t="shared" si="8"/>
        <v>1.434226183625477</v>
      </c>
      <c r="R3" s="33">
        <f t="shared" si="9"/>
        <v>0.70880972262718567</v>
      </c>
      <c r="S3" s="33">
        <f t="shared" si="10"/>
        <v>5.4526422477181526</v>
      </c>
      <c r="T3" s="33">
        <f t="shared" si="11"/>
        <v>5.3830752367155137</v>
      </c>
      <c r="U3" s="33">
        <f t="shared" si="12"/>
        <v>4.0350228024637813</v>
      </c>
      <c r="V3" s="22">
        <f t="shared" si="13"/>
        <v>511.01555354518104</v>
      </c>
      <c r="W3" s="33">
        <f t="shared" si="14"/>
        <v>0.73394980224614526</v>
      </c>
      <c r="X3" s="25">
        <f t="shared" si="15"/>
        <v>42.052226043165511</v>
      </c>
      <c r="Y3" s="33">
        <f t="shared" si="16"/>
        <v>-6.7861629609875518E-2</v>
      </c>
      <c r="Z3" s="33">
        <f t="shared" si="17"/>
        <v>0.74082548891607658</v>
      </c>
      <c r="AA3" s="33">
        <f t="shared" si="18"/>
        <v>0.66826600927402335</v>
      </c>
      <c r="AB3" s="33">
        <f t="shared" si="19"/>
        <v>-6.7809555530375182E-2</v>
      </c>
      <c r="AC3" s="33">
        <f t="shared" si="20"/>
        <v>0.64010448733962122</v>
      </c>
      <c r="AD3" s="33">
        <f t="shared" si="21"/>
        <v>0.20357760254983073</v>
      </c>
      <c r="AE3" s="33">
        <f t="shared" si="22"/>
        <v>0.97905881321811472</v>
      </c>
      <c r="AF3" s="25">
        <f t="shared" si="23"/>
        <v>11.746245916508018</v>
      </c>
      <c r="AG3" s="33">
        <f t="shared" si="24"/>
        <v>2.7218933337297107</v>
      </c>
      <c r="AH3" s="25">
        <f t="shared" si="25"/>
        <v>2.2454498294874057</v>
      </c>
      <c r="AI3" s="32">
        <f t="shared" si="26"/>
        <v>0.90552118487963107</v>
      </c>
      <c r="AJ3" s="33">
        <f>ASIN(COS($A$2*input!$D$2)*COS($A$2*AF3)*COS($A$2*AH3)+SIN($A$2*input!$D$2)*SIN($A$2*AF3))/$A$2</f>
        <v>51.701550048797692</v>
      </c>
      <c r="AK3" s="32">
        <f>ASIN((0.9983271+0.0016764*COS($A$2*2*input!$D$2))*COS($A$2*AJ3)*SIN($A$2*AI3))/$A$2</f>
        <v>0.56008721519400473</v>
      </c>
      <c r="AL3" s="32">
        <f t="shared" si="27"/>
        <v>51.14146283360369</v>
      </c>
      <c r="AM3" s="25">
        <f t="shared" si="28"/>
        <v>5.4617229926398068</v>
      </c>
      <c r="AN3" s="32">
        <f t="shared" si="29"/>
        <v>7.3626512268251991</v>
      </c>
      <c r="AO3" s="32">
        <f t="shared" si="30"/>
        <v>34.87965069842425</v>
      </c>
      <c r="AP3" s="22">
        <f t="shared" si="31"/>
        <v>145.04079664936668</v>
      </c>
      <c r="AQ3" s="51">
        <f t="shared" si="32"/>
        <v>3.9180461404817152E-2</v>
      </c>
      <c r="AR3" s="51">
        <f>COS($A$2*AH3)*SIN($A$2*input!$D$2) - TAN($A$2*AF3)*COS($A$2*input!$D$2)</f>
        <v>0.63180015919234456</v>
      </c>
      <c r="AS3" s="51">
        <f t="shared" si="33"/>
        <v>3.5485967103550138</v>
      </c>
    </row>
    <row r="4" spans="1:61">
      <c r="A4" s="52" t="s">
        <v>0</v>
      </c>
      <c r="B4"/>
      <c r="C4" s="17">
        <f t="shared" si="34"/>
        <v>14.682388888888891</v>
      </c>
      <c r="D4" s="98" t="str">
        <f>caldat!$T$4</f>
        <v>2020  03-28    14:40:56,6</v>
      </c>
      <c r="E4" s="98"/>
      <c r="F4" s="98"/>
      <c r="G4" s="38">
        <f t="shared" si="0"/>
        <v>55.210335980847049</v>
      </c>
      <c r="H4" s="37">
        <f t="shared" si="1"/>
        <v>55.222071777594643</v>
      </c>
      <c r="I4" s="38">
        <f t="shared" si="2"/>
        <v>15.4377739115303</v>
      </c>
      <c r="J4" s="38">
        <f t="shared" si="3"/>
        <v>186.51301956798125</v>
      </c>
      <c r="K4" s="25">
        <f t="shared" si="35"/>
        <v>2458937.1117662</v>
      </c>
      <c r="L4" s="49">
        <f t="shared" si="4"/>
        <v>0.20238499017659267</v>
      </c>
      <c r="M4" s="25">
        <f>MOD(280.46061837+360.98564736629*(K4-2451545)+0.000387933*L4^2-L4^3/38710000+input!$E$2,360)</f>
        <v>56.711959952954203</v>
      </c>
      <c r="N4" s="31">
        <f t="shared" si="5"/>
        <v>0.16586457915155961</v>
      </c>
      <c r="O4" s="25">
        <f t="shared" si="6"/>
        <v>-18847.620780542307</v>
      </c>
      <c r="P4" s="32">
        <f t="shared" si="7"/>
        <v>4.0640175155303195</v>
      </c>
      <c r="Q4" s="33">
        <f t="shared" si="8"/>
        <v>1.4520310785242543</v>
      </c>
      <c r="R4" s="33">
        <f t="shared" si="9"/>
        <v>0.92903592641146915</v>
      </c>
      <c r="S4" s="33">
        <f t="shared" si="10"/>
        <v>5.6916308081699016</v>
      </c>
      <c r="T4" s="33">
        <f t="shared" si="11"/>
        <v>5.6010101353602533</v>
      </c>
      <c r="U4" s="33">
        <f t="shared" si="12"/>
        <v>3.8335589553469633</v>
      </c>
      <c r="V4" s="22">
        <f t="shared" si="13"/>
        <v>450.72802148489109</v>
      </c>
      <c r="W4" s="33">
        <f t="shared" si="14"/>
        <v>0.95078204259889176</v>
      </c>
      <c r="X4" s="25">
        <f t="shared" si="15"/>
        <v>54.475798277744147</v>
      </c>
      <c r="Y4" s="33">
        <f t="shared" si="16"/>
        <v>-5.4424287387912149E-2</v>
      </c>
      <c r="Z4" s="33">
        <f t="shared" si="17"/>
        <v>0.58018646728594614</v>
      </c>
      <c r="AA4" s="33">
        <f t="shared" si="18"/>
        <v>0.81266511150240028</v>
      </c>
      <c r="AB4" s="33">
        <f t="shared" si="19"/>
        <v>-5.4397423882434209E-2</v>
      </c>
      <c r="AC4" s="33">
        <f t="shared" si="20"/>
        <v>0.76725622783953318</v>
      </c>
      <c r="AD4" s="33">
        <f t="shared" si="21"/>
        <v>0.27331583199607062</v>
      </c>
      <c r="AE4" s="33">
        <f t="shared" si="22"/>
        <v>0.96192435044565516</v>
      </c>
      <c r="AF4" s="25">
        <f t="shared" si="23"/>
        <v>15.8616738587287</v>
      </c>
      <c r="AG4" s="33">
        <f t="shared" si="24"/>
        <v>3.5269354310191154</v>
      </c>
      <c r="AH4" s="25">
        <f t="shared" si="25"/>
        <v>3.8079284876674677</v>
      </c>
      <c r="AI4" s="32">
        <f t="shared" si="26"/>
        <v>0.91129513911371907</v>
      </c>
      <c r="AJ4" s="33">
        <f>ASIN(COS($A$2*input!$D$2)*COS($A$2*AF4)*COS($A$2*AH4)+SIN($A$2*input!$D$2)*SIN($A$2*AF4))/$A$2</f>
        <v>55.722555348333053</v>
      </c>
      <c r="AK4" s="32">
        <f>ASIN((0.9983271+0.0016764*COS($A$2*2*input!$D$2))*COS($A$2*AJ4)*SIN($A$2*AI4))/$A$2</f>
        <v>0.5122193674860015</v>
      </c>
      <c r="AL4" s="32">
        <f t="shared" si="27"/>
        <v>55.210335980847049</v>
      </c>
      <c r="AM4" s="25">
        <f t="shared" si="28"/>
        <v>6.481917066310416</v>
      </c>
      <c r="AN4" s="32">
        <f t="shared" si="29"/>
        <v>8.3864892673332143</v>
      </c>
      <c r="AO4" s="32">
        <f t="shared" si="30"/>
        <v>46.170921345756895</v>
      </c>
      <c r="AP4" s="22">
        <f t="shared" si="31"/>
        <v>133.72870446192016</v>
      </c>
      <c r="AQ4" s="51">
        <f t="shared" si="32"/>
        <v>6.6411973750644393E-2</v>
      </c>
      <c r="AR4" s="51">
        <f>COS($A$2*AH4)*SIN($A$2*input!$D$2) - TAN($A$2*AF4)*COS($A$2*input!$D$2)</f>
        <v>0.58171514309698802</v>
      </c>
      <c r="AS4" s="51">
        <f t="shared" si="33"/>
        <v>6.5130195679812459</v>
      </c>
    </row>
    <row r="5" spans="1:61">
      <c r="A5" s="53">
        <f>input!$A$2</f>
        <v>26</v>
      </c>
      <c r="B5"/>
      <c r="C5" s="17">
        <f t="shared" si="34"/>
        <v>15.523583333333336</v>
      </c>
      <c r="D5" s="98" t="str">
        <f>caldat!$T$5</f>
        <v>2020  03-29    15:31:24,9</v>
      </c>
      <c r="E5" s="98"/>
      <c r="F5" s="98"/>
      <c r="G5" s="38">
        <f t="shared" si="0"/>
        <v>58.620423050486352</v>
      </c>
      <c r="H5" s="37">
        <f t="shared" si="1"/>
        <v>58.63072590063453</v>
      </c>
      <c r="I5" s="38">
        <f t="shared" si="2"/>
        <v>23.332753960237234</v>
      </c>
      <c r="J5" s="38">
        <f t="shared" si="3"/>
        <v>188.75936624232327</v>
      </c>
      <c r="K5" s="25">
        <f t="shared" si="35"/>
        <v>2458938.1468159668</v>
      </c>
      <c r="L5" s="49">
        <f t="shared" si="4"/>
        <v>0.20241332829477932</v>
      </c>
      <c r="M5" s="25">
        <f>MOD(280.46061837+360.98564736629*(K5-2451545)+0.000387933*L5^2-L5^3/38710000+input!$E$2,360)</f>
        <v>70.35007007047534</v>
      </c>
      <c r="N5" s="31">
        <f t="shared" si="5"/>
        <v>0.20374854051607372</v>
      </c>
      <c r="O5" s="25">
        <f t="shared" si="6"/>
        <v>-22735.838222883278</v>
      </c>
      <c r="P5" s="32">
        <f t="shared" si="7"/>
        <v>4.3000369575120807</v>
      </c>
      <c r="Q5" s="33">
        <f t="shared" si="8"/>
        <v>1.4698359734230315</v>
      </c>
      <c r="R5" s="33">
        <f t="shared" si="9"/>
        <v>1.1492621301953954</v>
      </c>
      <c r="S5" s="33">
        <f t="shared" si="10"/>
        <v>5.9306193686212927</v>
      </c>
      <c r="T5" s="33">
        <f t="shared" si="11"/>
        <v>5.821707796082606</v>
      </c>
      <c r="U5" s="33">
        <f t="shared" si="12"/>
        <v>3.632095108230502</v>
      </c>
      <c r="V5" s="22">
        <f t="shared" si="13"/>
        <v>373.58916089478265</v>
      </c>
      <c r="W5" s="33">
        <f t="shared" si="14"/>
        <v>1.1699633819104098</v>
      </c>
      <c r="X5" s="25">
        <f t="shared" si="15"/>
        <v>67.033963968318972</v>
      </c>
      <c r="Y5" s="33">
        <f t="shared" si="16"/>
        <v>-3.8168605101867106E-2</v>
      </c>
      <c r="Z5" s="33">
        <f t="shared" si="17"/>
        <v>0.38990121535765476</v>
      </c>
      <c r="AA5" s="33">
        <f t="shared" si="18"/>
        <v>0.92006570807365096</v>
      </c>
      <c r="AB5" s="33">
        <f t="shared" si="19"/>
        <v>-3.8159338169774196E-2</v>
      </c>
      <c r="AC5" s="33">
        <f t="shared" si="20"/>
        <v>0.85933784891470666</v>
      </c>
      <c r="AD5" s="33">
        <f t="shared" si="21"/>
        <v>0.3309312673128193</v>
      </c>
      <c r="AE5" s="33">
        <f t="shared" si="22"/>
        <v>0.94365486080172944</v>
      </c>
      <c r="AF5" s="25">
        <f t="shared" si="23"/>
        <v>19.325309365758876</v>
      </c>
      <c r="AG5" s="33">
        <f t="shared" si="24"/>
        <v>4.3730079149286576</v>
      </c>
      <c r="AH5" s="25">
        <f t="shared" si="25"/>
        <v>4.7549513465454822</v>
      </c>
      <c r="AI5" s="32">
        <f t="shared" si="26"/>
        <v>0.91922495789297864</v>
      </c>
      <c r="AJ5" s="33">
        <f>ASIN(COS($A$2*input!$D$2)*COS($A$2*AF5)*COS($A$2*AH5)+SIN($A$2*input!$D$2)*SIN($A$2*AF5))/$A$2</f>
        <v>59.091655597102822</v>
      </c>
      <c r="AK5" s="32">
        <f>ASIN((0.9983271+0.0016764*COS($A$2*2*input!$D$2))*COS($A$2*AJ5)*SIN($A$2*AI5))/$A$2</f>
        <v>0.47123254661647068</v>
      </c>
      <c r="AL5" s="32">
        <f t="shared" si="27"/>
        <v>58.620423050486352</v>
      </c>
      <c r="AM5" s="25">
        <f t="shared" si="28"/>
        <v>7.5021111399792062</v>
      </c>
      <c r="AN5" s="32">
        <f t="shared" si="29"/>
        <v>9.4097197669845887</v>
      </c>
      <c r="AO5" s="32">
        <f t="shared" si="30"/>
        <v>57.650698480960131</v>
      </c>
      <c r="AP5" s="22">
        <f t="shared" si="31"/>
        <v>122.2317374936097</v>
      </c>
      <c r="AQ5" s="51">
        <f t="shared" si="32"/>
        <v>8.2894327702519588E-2</v>
      </c>
      <c r="AR5" s="51">
        <f>COS($A$2*AH5)*SIN($A$2*input!$D$2) - TAN($A$2*AF5)*COS($A$2*input!$D$2)</f>
        <v>0.53798815069553207</v>
      </c>
      <c r="AS5" s="51">
        <f t="shared" si="33"/>
        <v>8.7593662423232672</v>
      </c>
    </row>
    <row r="6" spans="1:61">
      <c r="A6" s="52" t="s">
        <v>1</v>
      </c>
      <c r="B6"/>
      <c r="C6" s="17">
        <f t="shared" si="34"/>
        <v>16.364777777777782</v>
      </c>
      <c r="D6" s="97" t="str">
        <f>caldat!$T$6</f>
        <v>2020  03-30    16:21:53,2</v>
      </c>
      <c r="E6" s="97"/>
      <c r="F6" s="97"/>
      <c r="G6" s="38">
        <f t="shared" si="0"/>
        <v>61.204734760890929</v>
      </c>
      <c r="H6" s="37">
        <f t="shared" si="1"/>
        <v>61.214018842797415</v>
      </c>
      <c r="I6" s="38">
        <f t="shared" si="2"/>
        <v>32.492336627047735</v>
      </c>
      <c r="J6" s="38">
        <f t="shared" si="3"/>
        <v>189.78060842918586</v>
      </c>
      <c r="K6" s="25">
        <f t="shared" si="35"/>
        <v>2458939.1818657336</v>
      </c>
      <c r="L6" s="49">
        <f t="shared" si="4"/>
        <v>0.20244166641296599</v>
      </c>
      <c r="M6" s="25">
        <f>MOD(280.46061837+360.98564736629*(K6-2451545)+0.000387933*L6^2-L6^3/38710000+input!$E$2,360)</f>
        <v>83.988180187996477</v>
      </c>
      <c r="N6" s="31">
        <f t="shared" si="5"/>
        <v>0.24163250188058782</v>
      </c>
      <c r="O6" s="25">
        <f t="shared" si="6"/>
        <v>-25871.408797126649</v>
      </c>
      <c r="P6" s="32">
        <f t="shared" si="7"/>
        <v>4.5360563994938419</v>
      </c>
      <c r="Q6" s="33">
        <f t="shared" si="8"/>
        <v>1.4876408683218088</v>
      </c>
      <c r="R6" s="33">
        <f t="shared" si="9"/>
        <v>1.3694883339796788</v>
      </c>
      <c r="S6" s="33">
        <f t="shared" si="10"/>
        <v>6.1696079290730417</v>
      </c>
      <c r="T6" s="33">
        <f t="shared" si="11"/>
        <v>6.0463437443608434</v>
      </c>
      <c r="U6" s="33">
        <f t="shared" si="12"/>
        <v>3.430631261113684</v>
      </c>
      <c r="V6" s="22">
        <f t="shared" si="13"/>
        <v>280.99054970230821</v>
      </c>
      <c r="W6" s="33">
        <f t="shared" si="14"/>
        <v>1.3927936562089072</v>
      </c>
      <c r="X6" s="25">
        <f t="shared" si="15"/>
        <v>79.801198233365326</v>
      </c>
      <c r="Y6" s="33">
        <f t="shared" si="16"/>
        <v>-1.9704876515369497E-2</v>
      </c>
      <c r="Z6" s="33">
        <f t="shared" si="17"/>
        <v>0.17702978336813263</v>
      </c>
      <c r="AA6" s="33">
        <f t="shared" si="18"/>
        <v>0.98400824381398833</v>
      </c>
      <c r="AB6" s="33">
        <f t="shared" si="19"/>
        <v>-1.9703601364794644E-2</v>
      </c>
      <c r="AC6" s="33">
        <f t="shared" si="20"/>
        <v>0.9106646501444543</v>
      </c>
      <c r="AD6" s="33">
        <f t="shared" si="21"/>
        <v>0.37329659893697237</v>
      </c>
      <c r="AE6" s="33">
        <f t="shared" si="22"/>
        <v>0.92771205081215213</v>
      </c>
      <c r="AF6" s="25">
        <f t="shared" si="23"/>
        <v>21.919071315934989</v>
      </c>
      <c r="AG6" s="33">
        <f t="shared" si="24"/>
        <v>5.2666080330179108</v>
      </c>
      <c r="AH6" s="25">
        <f t="shared" si="25"/>
        <v>4.989059692727821</v>
      </c>
      <c r="AI6" s="32">
        <f t="shared" si="26"/>
        <v>0.9294979011970923</v>
      </c>
      <c r="AJ6" s="33">
        <f>ASIN(COS($A$2*input!$D$2)*COS($A$2*AF6)*COS($A$2*AH6)+SIN($A$2*input!$D$2)*SIN($A$2*AF6))/$A$2</f>
        <v>61.645297925603217</v>
      </c>
      <c r="AK6" s="32">
        <f>ASIN((0.9983271+0.0016764*COS($A$2*2*input!$D$2))*COS($A$2*AJ6)*SIN($A$2*AI6))/$A$2</f>
        <v>0.44056316471228424</v>
      </c>
      <c r="AL6" s="32">
        <f t="shared" si="27"/>
        <v>61.204734760890929</v>
      </c>
      <c r="AM6" s="25">
        <f t="shared" si="28"/>
        <v>8.5223052136489059</v>
      </c>
      <c r="AN6" s="32">
        <f t="shared" si="29"/>
        <v>10.43234243603006</v>
      </c>
      <c r="AO6" s="32">
        <f t="shared" si="30"/>
        <v>69.373043541658816</v>
      </c>
      <c r="AP6" s="22">
        <f t="shared" si="31"/>
        <v>110.49668992105244</v>
      </c>
      <c r="AQ6" s="51">
        <f t="shared" si="32"/>
        <v>8.6965523377921336E-2</v>
      </c>
      <c r="AR6" s="51">
        <f>COS($A$2*AH6)*SIN($A$2*input!$D$2) - TAN($A$2*AF6)*COS($A$2*input!$D$2)</f>
        <v>0.50449461937222595</v>
      </c>
      <c r="AS6" s="51">
        <f t="shared" si="33"/>
        <v>9.780608429185861</v>
      </c>
    </row>
    <row r="7" spans="1:61">
      <c r="A7" s="53">
        <f>input!$B$2</f>
        <v>3</v>
      </c>
      <c r="B7"/>
      <c r="C7" s="17">
        <f t="shared" si="34"/>
        <v>17.205972222222226</v>
      </c>
      <c r="D7" s="97" t="str">
        <f>caldat!$T$7</f>
        <v>2020  03-31    17:12:21,5</v>
      </c>
      <c r="E7" s="97"/>
      <c r="F7" s="97"/>
      <c r="G7" s="38">
        <f t="shared" si="0"/>
        <v>62.762439684617078</v>
      </c>
      <c r="H7" s="37">
        <f t="shared" si="1"/>
        <v>62.771133710177409</v>
      </c>
      <c r="I7" s="38">
        <f t="shared" si="2"/>
        <v>42.651815041788936</v>
      </c>
      <c r="J7" s="38">
        <f t="shared" si="3"/>
        <v>189.19037883214651</v>
      </c>
      <c r="K7" s="25">
        <f t="shared" si="35"/>
        <v>2458940.2169155004</v>
      </c>
      <c r="L7" s="49">
        <f t="shared" si="4"/>
        <v>0.20247000453115263</v>
      </c>
      <c r="M7" s="25">
        <f>MOD(280.46061837+360.98564736629*(K7-2451545)+0.000387933*L7^2-L7^3/38710000+input!$E$2,360)</f>
        <v>97.626290305051953</v>
      </c>
      <c r="N7" s="31">
        <f t="shared" si="5"/>
        <v>0.27951646324504509</v>
      </c>
      <c r="O7" s="25">
        <f t="shared" si="6"/>
        <v>-27936.854761425897</v>
      </c>
      <c r="P7" s="32">
        <f t="shared" si="7"/>
        <v>4.772075841475603</v>
      </c>
      <c r="Q7" s="33">
        <f t="shared" si="8"/>
        <v>1.5054457632205636</v>
      </c>
      <c r="R7" s="33">
        <f t="shared" si="9"/>
        <v>1.5897145377636051</v>
      </c>
      <c r="S7" s="33">
        <f t="shared" si="10"/>
        <v>0.12541118234449045</v>
      </c>
      <c r="T7" s="33">
        <f t="shared" si="11"/>
        <v>-6.9175042524350916E-3</v>
      </c>
      <c r="U7" s="33">
        <f t="shared" si="12"/>
        <v>-3.0540178931827198</v>
      </c>
      <c r="V7" s="22">
        <f t="shared" si="13"/>
        <v>175.48872388080707</v>
      </c>
      <c r="W7" s="33">
        <f t="shared" si="14"/>
        <v>1.6208120410209765</v>
      </c>
      <c r="X7" s="25">
        <f t="shared" si="15"/>
        <v>92.865689334486817</v>
      </c>
      <c r="Y7" s="33">
        <f t="shared" si="16"/>
        <v>2.2969292595545777E-4</v>
      </c>
      <c r="Z7" s="33">
        <f t="shared" si="17"/>
        <v>-4.9994862533060541E-2</v>
      </c>
      <c r="AA7" s="33">
        <f t="shared" si="18"/>
        <v>0.99874944854125514</v>
      </c>
      <c r="AB7" s="33">
        <f t="shared" si="19"/>
        <v>2.2969292393573571E-4</v>
      </c>
      <c r="AC7" s="33">
        <f t="shared" si="20"/>
        <v>0.91626154047372399</v>
      </c>
      <c r="AD7" s="33">
        <f t="shared" si="21"/>
        <v>0.39744849121492315</v>
      </c>
      <c r="AE7" s="33">
        <f t="shared" si="22"/>
        <v>0.91762448574075284</v>
      </c>
      <c r="AF7" s="25">
        <f t="shared" si="23"/>
        <v>23.41876794205638</v>
      </c>
      <c r="AG7" s="33">
        <f t="shared" si="24"/>
        <v>6.2082125253445364</v>
      </c>
      <c r="AH7" s="25">
        <f t="shared" si="25"/>
        <v>4.503102424883906</v>
      </c>
      <c r="AI7" s="32">
        <f t="shared" si="26"/>
        <v>0.94211646545916128</v>
      </c>
      <c r="AJ7" s="33">
        <f>ASIN(COS($A$2*input!$D$2)*COS($A$2*AF7)*COS($A$2*AH7)+SIN($A$2*input!$D$2)*SIN($A$2*AF7))/$A$2</f>
        <v>63.186566100604146</v>
      </c>
      <c r="AK7" s="32">
        <f>ASIN((0.9983271+0.0016764*COS($A$2*2*input!$D$2))*COS($A$2*AJ7)*SIN($A$2*AI7))/$A$2</f>
        <v>0.42412641598707157</v>
      </c>
      <c r="AL7" s="32">
        <f t="shared" si="27"/>
        <v>62.762439684617078</v>
      </c>
      <c r="AM7" s="25">
        <f t="shared" si="28"/>
        <v>9.5424992873176961</v>
      </c>
      <c r="AN7" s="32">
        <f t="shared" si="29"/>
        <v>11.454357180228975</v>
      </c>
      <c r="AO7" s="32">
        <f t="shared" si="30"/>
        <v>81.411332382534297</v>
      </c>
      <c r="AP7" s="22">
        <f t="shared" si="31"/>
        <v>98.451009242455115</v>
      </c>
      <c r="AQ7" s="51">
        <f t="shared" si="32"/>
        <v>7.8513076223058129E-2</v>
      </c>
      <c r="AR7" s="51">
        <f>COS($A$2*AH7)*SIN($A$2*input!$D$2) - TAN($A$2*AF7)*COS($A$2*input!$D$2)</f>
        <v>0.48527067350179098</v>
      </c>
      <c r="AS7" s="51">
        <f t="shared" si="33"/>
        <v>9.1903788321465072</v>
      </c>
    </row>
    <row r="8" spans="1:61">
      <c r="A8" s="52" t="s">
        <v>2</v>
      </c>
      <c r="B8"/>
      <c r="C8" s="17">
        <f t="shared" si="34"/>
        <v>18.047166666666669</v>
      </c>
      <c r="D8" s="97" t="str">
        <f>caldat!$T$8</f>
        <v>2020  04-01    18:02:49,8</v>
      </c>
      <c r="E8" s="97"/>
      <c r="F8" s="97"/>
      <c r="G8" s="38">
        <f t="shared" si="0"/>
        <v>63.058688447507031</v>
      </c>
      <c r="H8" s="37">
        <f t="shared" si="1"/>
        <v>63.067272121959071</v>
      </c>
      <c r="I8" s="38">
        <f t="shared" si="2"/>
        <v>53.471271803311851</v>
      </c>
      <c r="J8" s="38">
        <f t="shared" si="3"/>
        <v>187.01136348762321</v>
      </c>
      <c r="K8" s="25">
        <f t="shared" si="35"/>
        <v>2458941.2519652671</v>
      </c>
      <c r="L8" s="49">
        <f t="shared" si="4"/>
        <v>0.2024983426493393</v>
      </c>
      <c r="M8" s="25">
        <f>MOD(280.46061837+360.98564736629*(K8-2451545)+0.000387933*L8^2-L8^3/38710000+input!$E$2,360)</f>
        <v>111.26440042303875</v>
      </c>
      <c r="N8" s="31">
        <f t="shared" si="5"/>
        <v>0.3174004246095592</v>
      </c>
      <c r="O8" s="25">
        <f t="shared" si="6"/>
        <v>-28603.849258489488</v>
      </c>
      <c r="P8" s="32">
        <f t="shared" si="7"/>
        <v>5.0080952834577213</v>
      </c>
      <c r="Q8" s="33">
        <f t="shared" si="8"/>
        <v>1.523250658119363</v>
      </c>
      <c r="R8" s="33">
        <f t="shared" si="9"/>
        <v>1.8099407415478885</v>
      </c>
      <c r="S8" s="33">
        <f t="shared" si="10"/>
        <v>0.36439974279623938</v>
      </c>
      <c r="T8" s="33">
        <f t="shared" si="11"/>
        <v>0.22967448536888863</v>
      </c>
      <c r="U8" s="33">
        <f t="shared" si="12"/>
        <v>-3.2554817402995377</v>
      </c>
      <c r="V8" s="22">
        <f t="shared" si="13"/>
        <v>60.934757833934611</v>
      </c>
      <c r="W8" s="33">
        <f t="shared" si="14"/>
        <v>1.8556103098702388</v>
      </c>
      <c r="X8" s="25">
        <f t="shared" si="15"/>
        <v>106.31863917652757</v>
      </c>
      <c r="Y8" s="33">
        <f t="shared" si="16"/>
        <v>2.0736491944041674E-2</v>
      </c>
      <c r="Z8" s="33">
        <f t="shared" si="17"/>
        <v>-0.28091852452194738</v>
      </c>
      <c r="AA8" s="33">
        <f t="shared" si="18"/>
        <v>0.95950760398897716</v>
      </c>
      <c r="AB8" s="33">
        <f t="shared" si="19"/>
        <v>2.0735005853485786E-2</v>
      </c>
      <c r="AC8" s="33">
        <f t="shared" si="20"/>
        <v>0.87210145630617719</v>
      </c>
      <c r="AD8" s="33">
        <f t="shared" si="21"/>
        <v>0.40065425554841777</v>
      </c>
      <c r="AE8" s="33">
        <f t="shared" si="22"/>
        <v>0.91622932037287652</v>
      </c>
      <c r="AF8" s="25">
        <f t="shared" si="23"/>
        <v>23.619085523222182</v>
      </c>
      <c r="AG8" s="33">
        <f t="shared" si="24"/>
        <v>7.1903080971582396</v>
      </c>
      <c r="AH8" s="25">
        <f t="shared" si="25"/>
        <v>3.4097789656651543</v>
      </c>
      <c r="AI8" s="32">
        <f t="shared" si="26"/>
        <v>0.9567566068849489</v>
      </c>
      <c r="AJ8" s="33">
        <f>ASIN(COS($A$2*input!$D$2)*COS($A$2*AF8)*COS($A$2*AH8)+SIN($A$2*input!$D$2)*SIN($A$2*AF8))/$A$2</f>
        <v>63.48496112275393</v>
      </c>
      <c r="AK8" s="32">
        <f>ASIN((0.9983271+0.0016764*COS($A$2*2*input!$D$2))*COS($A$2*AJ8)*SIN($A$2*AI8))/$A$2</f>
        <v>0.42627267524689694</v>
      </c>
      <c r="AL8" s="32">
        <f t="shared" si="27"/>
        <v>63.058688447507031</v>
      </c>
      <c r="AM8" s="25">
        <f t="shared" si="28"/>
        <v>10.562693360988305</v>
      </c>
      <c r="AN8" s="32">
        <f t="shared" si="29"/>
        <v>12.475764100014695</v>
      </c>
      <c r="AO8" s="32">
        <f t="shared" si="30"/>
        <v>93.842047643239525</v>
      </c>
      <c r="AP8" s="22">
        <f t="shared" si="31"/>
        <v>86.019013157186606</v>
      </c>
      <c r="AQ8" s="51">
        <f t="shared" si="32"/>
        <v>5.9476747442003222E-2</v>
      </c>
      <c r="AR8" s="51">
        <f>COS($A$2*AH8)*SIN($A$2*input!$D$2) - TAN($A$2*AF8)*COS($A$2*input!$D$2)</f>
        <v>0.48360628458358507</v>
      </c>
      <c r="AS8" s="51">
        <f t="shared" si="33"/>
        <v>7.011363487623214</v>
      </c>
    </row>
    <row r="9" spans="1:61">
      <c r="A9" s="53">
        <f>input!$C$2</f>
        <v>2020</v>
      </c>
      <c r="B9"/>
      <c r="C9" s="17">
        <f t="shared" si="34"/>
        <v>18.888361111111113</v>
      </c>
      <c r="D9" s="97" t="str">
        <f>caldat!$T$9</f>
        <v>2020  04-02    18:53:18,1</v>
      </c>
      <c r="E9" s="97"/>
      <c r="F9" s="97"/>
      <c r="G9" s="38">
        <f t="shared" si="0"/>
        <v>61.883115358787769</v>
      </c>
      <c r="H9" s="37">
        <f t="shared" si="1"/>
        <v>61.892140394452973</v>
      </c>
      <c r="I9" s="38">
        <f t="shared" si="2"/>
        <v>64.502000981634339</v>
      </c>
      <c r="J9" s="38">
        <f t="shared" si="3"/>
        <v>183.85860002793061</v>
      </c>
      <c r="K9" s="25">
        <f t="shared" si="35"/>
        <v>2458942.2870150339</v>
      </c>
      <c r="L9" s="49">
        <f t="shared" si="4"/>
        <v>0.20252668076752597</v>
      </c>
      <c r="M9" s="25">
        <f>MOD(280.46061837+360.98564736629*(K9-2451545)+0.000387933*L9^2-L9^3/38710000+input!$E$2,360)</f>
        <v>124.90251054009423</v>
      </c>
      <c r="N9" s="31">
        <f t="shared" si="5"/>
        <v>0.3552843859740733</v>
      </c>
      <c r="O9" s="25">
        <f t="shared" si="6"/>
        <v>-27592.47474606855</v>
      </c>
      <c r="P9" s="32">
        <f t="shared" si="7"/>
        <v>5.2441147254394824</v>
      </c>
      <c r="Q9" s="33">
        <f t="shared" si="8"/>
        <v>1.5410555530181402</v>
      </c>
      <c r="R9" s="33">
        <f t="shared" si="9"/>
        <v>2.0301669453319935</v>
      </c>
      <c r="S9" s="33">
        <f t="shared" si="10"/>
        <v>0.60338830324798831</v>
      </c>
      <c r="T9" s="33">
        <f t="shared" si="11"/>
        <v>0.47410443988319695</v>
      </c>
      <c r="U9" s="33">
        <f t="shared" si="12"/>
        <v>-3.4569455874159987</v>
      </c>
      <c r="V9" s="22">
        <f t="shared" si="13"/>
        <v>-57.594130592265259</v>
      </c>
      <c r="W9" s="33">
        <f t="shared" si="14"/>
        <v>2.0985455412969847</v>
      </c>
      <c r="X9" s="25">
        <f t="shared" si="15"/>
        <v>120.23780263231403</v>
      </c>
      <c r="Y9" s="33">
        <f t="shared" si="16"/>
        <v>4.0712524175867196E-2</v>
      </c>
      <c r="Z9" s="33">
        <f t="shared" si="17"/>
        <v>-0.50317277362949131</v>
      </c>
      <c r="AA9" s="33">
        <f t="shared" si="18"/>
        <v>0.86322683335856454</v>
      </c>
      <c r="AB9" s="33">
        <f t="shared" si="19"/>
        <v>4.070127820781097E-2</v>
      </c>
      <c r="AC9" s="33">
        <f t="shared" si="20"/>
        <v>0.77582253668298862</v>
      </c>
      <c r="AD9" s="33">
        <f t="shared" si="21"/>
        <v>0.38067906621296799</v>
      </c>
      <c r="AE9" s="33">
        <f t="shared" si="22"/>
        <v>0.92470722315077802</v>
      </c>
      <c r="AF9" s="25">
        <f t="shared" si="23"/>
        <v>22.37575192155894</v>
      </c>
      <c r="AG9" s="33">
        <f t="shared" si="24"/>
        <v>8.1977403158960893</v>
      </c>
      <c r="AH9" s="25">
        <f t="shared" si="25"/>
        <v>1.9364058016528816</v>
      </c>
      <c r="AI9" s="32">
        <f t="shared" si="26"/>
        <v>0.97266466980471433</v>
      </c>
      <c r="AJ9" s="33">
        <f>ASIN(COS($A$2*input!$D$2)*COS($A$2*AF9)*COS($A$2*AH9)+SIN($A$2*input!$D$2)*SIN($A$2*AF9))/$A$2</f>
        <v>62.333838109573826</v>
      </c>
      <c r="AK9" s="32">
        <f>ASIN((0.9983271+0.0016764*COS($A$2*2*input!$D$2))*COS($A$2*AJ9)*SIN($A$2*AI9))/$A$2</f>
        <v>0.45072275078605484</v>
      </c>
      <c r="AL9" s="32">
        <f t="shared" si="27"/>
        <v>61.883115358787769</v>
      </c>
      <c r="AM9" s="25">
        <f t="shared" si="28"/>
        <v>11.582887434658915</v>
      </c>
      <c r="AN9" s="32">
        <f t="shared" si="29"/>
        <v>13.496563489580877</v>
      </c>
      <c r="AO9" s="32">
        <f t="shared" si="30"/>
        <v>106.72695846063709</v>
      </c>
      <c r="AP9" s="22">
        <f t="shared" si="31"/>
        <v>73.139648045696845</v>
      </c>
      <c r="AQ9" s="51">
        <f t="shared" si="32"/>
        <v>3.3790223425120974E-2</v>
      </c>
      <c r="AR9" s="51">
        <f>COS($A$2*AH9)*SIN($A$2*input!$D$2) - TAN($A$2*AF9)*COS($A$2*input!$D$2)</f>
        <v>0.50098724917923299</v>
      </c>
      <c r="AS9" s="51">
        <f t="shared" si="33"/>
        <v>3.8586000279306063</v>
      </c>
    </row>
    <row r="10" spans="1:61">
      <c r="A10"/>
      <c r="B10"/>
      <c r="C10" s="17">
        <f t="shared" si="34"/>
        <v>19.729555555555557</v>
      </c>
      <c r="D10" s="97" t="str">
        <f>caldat!$T$10</f>
        <v>2020  04-03    19:43:46,4</v>
      </c>
      <c r="E10" s="97"/>
      <c r="F10" s="97"/>
      <c r="G10" s="38">
        <f t="shared" si="0"/>
        <v>59.153224611392083</v>
      </c>
      <c r="H10" s="37">
        <f t="shared" si="1"/>
        <v>59.163313054658886</v>
      </c>
      <c r="I10" s="38">
        <f t="shared" si="2"/>
        <v>75.161849349546927</v>
      </c>
      <c r="J10" s="38">
        <f t="shared" si="3"/>
        <v>180.68008057037616</v>
      </c>
      <c r="K10" s="25">
        <f t="shared" si="35"/>
        <v>2458943.3220648007</v>
      </c>
      <c r="L10" s="49">
        <f t="shared" si="4"/>
        <v>0.20255501888571262</v>
      </c>
      <c r="M10" s="25">
        <f>MOD(280.46061837+360.98564736629*(K10-2451545)+0.000387933*L10^2-L10^3/38710000+input!$E$2,360)</f>
        <v>138.54062065761536</v>
      </c>
      <c r="N10" s="31">
        <f t="shared" si="5"/>
        <v>0.39316834733858741</v>
      </c>
      <c r="O10" s="25">
        <f t="shared" si="6"/>
        <v>-24740.767909637012</v>
      </c>
      <c r="P10" s="32">
        <f t="shared" si="7"/>
        <v>5.4801341674212436</v>
      </c>
      <c r="Q10" s="33">
        <f t="shared" si="8"/>
        <v>1.5588604479169175</v>
      </c>
      <c r="R10" s="33">
        <f t="shared" si="9"/>
        <v>2.2503931491159195</v>
      </c>
      <c r="S10" s="33">
        <f t="shared" si="10"/>
        <v>0.84237686369938014</v>
      </c>
      <c r="T10" s="33">
        <f t="shared" si="11"/>
        <v>0.72703736799928742</v>
      </c>
      <c r="U10" s="33">
        <f t="shared" si="12"/>
        <v>-3.6584094345324587</v>
      </c>
      <c r="V10" s="22">
        <f t="shared" si="13"/>
        <v>-174.07519767607357</v>
      </c>
      <c r="W10" s="33">
        <f t="shared" si="14"/>
        <v>2.3504029556084149</v>
      </c>
      <c r="X10" s="25">
        <f t="shared" si="15"/>
        <v>134.66816951143676</v>
      </c>
      <c r="Y10" s="33">
        <f t="shared" si="16"/>
        <v>5.8834128502780886E-2</v>
      </c>
      <c r="Z10" s="33">
        <f t="shared" si="17"/>
        <v>-0.70178336199483249</v>
      </c>
      <c r="AA10" s="33">
        <f t="shared" si="18"/>
        <v>0.70995961166619037</v>
      </c>
      <c r="AB10" s="33">
        <f t="shared" si="19"/>
        <v>5.8800192431846213E-2</v>
      </c>
      <c r="AC10" s="33">
        <f t="shared" si="20"/>
        <v>0.628001245539338</v>
      </c>
      <c r="AD10" s="33">
        <f t="shared" si="21"/>
        <v>0.33632506363378589</v>
      </c>
      <c r="AE10" s="33">
        <f t="shared" si="22"/>
        <v>0.94174595914807613</v>
      </c>
      <c r="AF10" s="25">
        <f t="shared" si="23"/>
        <v>19.653134535220502</v>
      </c>
      <c r="AG10" s="33">
        <f t="shared" si="24"/>
        <v>9.2117171869894356</v>
      </c>
      <c r="AH10" s="25">
        <f t="shared" si="25"/>
        <v>0.36486285277382535</v>
      </c>
      <c r="AI10" s="32">
        <f t="shared" si="26"/>
        <v>0.98864512471411914</v>
      </c>
      <c r="AJ10" s="33">
        <f>ASIN(COS($A$2*input!$D$2)*COS($A$2*AF10)*COS($A$2*AH10)+SIN($A$2*input!$D$2)*SIN($A$2*AF10))/$A$2</f>
        <v>59.651742644417041</v>
      </c>
      <c r="AK10" s="32">
        <f>ASIN((0.9983271+0.0016764*COS($A$2*2*input!$D$2))*COS($A$2*AJ10)*SIN($A$2*AI10))/$A$2</f>
        <v>0.49851803302495551</v>
      </c>
      <c r="AL10" s="32">
        <f t="shared" si="27"/>
        <v>59.153224611392083</v>
      </c>
      <c r="AM10" s="25">
        <f t="shared" si="28"/>
        <v>12.603081508329524</v>
      </c>
      <c r="AN10" s="32">
        <f t="shared" si="29"/>
        <v>14.516755835923652</v>
      </c>
      <c r="AO10" s="32">
        <f t="shared" si="30"/>
        <v>120.09384513727412</v>
      </c>
      <c r="AP10" s="22">
        <f t="shared" si="31"/>
        <v>59.785610588599567</v>
      </c>
      <c r="AQ10" s="51">
        <f t="shared" si="32"/>
        <v>6.3680150594538285E-3</v>
      </c>
      <c r="AR10" s="51">
        <f>COS($A$2*AH10)*SIN($A$2*input!$D$2) - TAN($A$2*AF10)*COS($A$2*input!$D$2)</f>
        <v>0.53647062956843805</v>
      </c>
      <c r="AS10" s="51">
        <f t="shared" si="33"/>
        <v>0.68008057037616254</v>
      </c>
    </row>
    <row r="11" spans="1:61">
      <c r="A11" s="54" t="s">
        <v>52</v>
      </c>
      <c r="B11" s="1"/>
      <c r="C11" s="17">
        <f t="shared" si="34"/>
        <v>20.57075</v>
      </c>
      <c r="D11" s="97" t="str">
        <f>caldat!$T$11</f>
        <v>2020  04-04    20:34:14,7</v>
      </c>
      <c r="E11" s="97"/>
      <c r="F11" s="97"/>
      <c r="G11" s="38">
        <f t="shared" si="0"/>
        <v>54.9785968282266</v>
      </c>
      <c r="H11" s="37">
        <f t="shared" si="1"/>
        <v>54.990434146296117</v>
      </c>
      <c r="I11" s="38">
        <f t="shared" si="2"/>
        <v>84.744547632822133</v>
      </c>
      <c r="J11" s="38">
        <f t="shared" si="3"/>
        <v>178.18722453189093</v>
      </c>
      <c r="K11" s="25">
        <f t="shared" si="35"/>
        <v>2458944.3571145674</v>
      </c>
      <c r="L11" s="49">
        <f t="shared" si="4"/>
        <v>0.20258335700389929</v>
      </c>
      <c r="M11" s="25">
        <f>MOD(280.46061837+360.98564736629*(K11-2451545)+0.000387933*L11^2-L11^3/38710000+input!$E$2,360)</f>
        <v>152.1787307751365</v>
      </c>
      <c r="N11" s="31">
        <f t="shared" si="5"/>
        <v>0.43105230870310152</v>
      </c>
      <c r="O11" s="25">
        <f t="shared" si="6"/>
        <v>-20067.564739944566</v>
      </c>
      <c r="P11" s="32">
        <f t="shared" si="7"/>
        <v>5.7161536094030048</v>
      </c>
      <c r="Q11" s="33">
        <f t="shared" si="8"/>
        <v>1.5766653428156947</v>
      </c>
      <c r="R11" s="33">
        <f t="shared" si="9"/>
        <v>2.470619352900203</v>
      </c>
      <c r="S11" s="33">
        <f t="shared" si="10"/>
        <v>1.081365424150772</v>
      </c>
      <c r="T11" s="33">
        <f t="shared" si="11"/>
        <v>0.98835551652859133</v>
      </c>
      <c r="U11" s="33">
        <f t="shared" si="12"/>
        <v>-3.8598732816496337</v>
      </c>
      <c r="V11" s="22">
        <f t="shared" si="13"/>
        <v>-282.00804392602458</v>
      </c>
      <c r="W11" s="33">
        <f t="shared" si="14"/>
        <v>2.6110912333444021</v>
      </c>
      <c r="X11" s="25">
        <f t="shared" si="15"/>
        <v>149.60450759424305</v>
      </c>
      <c r="Y11" s="33">
        <f t="shared" si="16"/>
        <v>7.3616346016425582E-2</v>
      </c>
      <c r="Z11" s="33">
        <f t="shared" si="17"/>
        <v>-0.86021728608409198</v>
      </c>
      <c r="AA11" s="33">
        <f t="shared" si="18"/>
        <v>0.50459551830564453</v>
      </c>
      <c r="AB11" s="33">
        <f t="shared" si="19"/>
        <v>7.3549871706055994E-2</v>
      </c>
      <c r="AC11" s="33">
        <f t="shared" si="20"/>
        <v>0.43371316735513882</v>
      </c>
      <c r="AD11" s="33">
        <f t="shared" si="21"/>
        <v>0.26817738380574285</v>
      </c>
      <c r="AE11" s="33">
        <f t="shared" si="22"/>
        <v>0.96336955049197359</v>
      </c>
      <c r="AF11" s="25">
        <f t="shared" si="23"/>
        <v>15.555839310174788</v>
      </c>
      <c r="AG11" s="33">
        <f t="shared" si="24"/>
        <v>10.216213604898055</v>
      </c>
      <c r="AH11" s="25">
        <f t="shared" si="25"/>
        <v>358.93552670166571</v>
      </c>
      <c r="AI11" s="32">
        <f t="shared" si="26"/>
        <v>1.003171233966309</v>
      </c>
      <c r="AJ11" s="33">
        <f>ASIN(COS($A$2*input!$D$2)*COS($A$2*AF11)*COS($A$2*AH11)+SIN($A$2*input!$D$2)*SIN($A$2*AF11))/$A$2</f>
        <v>55.545015168072013</v>
      </c>
      <c r="AK11" s="32">
        <f>ASIN((0.9983271+0.0016764*COS($A$2*2*input!$D$2))*COS($A$2*AJ11)*SIN($A$2*AI11))/$A$2</f>
        <v>0.56641833984541246</v>
      </c>
      <c r="AL11" s="32">
        <f t="shared" si="27"/>
        <v>54.9785968282266</v>
      </c>
      <c r="AM11" s="25">
        <f t="shared" si="28"/>
        <v>13.623275582001952</v>
      </c>
      <c r="AN11" s="32">
        <f t="shared" si="29"/>
        <v>15.536341817819364</v>
      </c>
      <c r="AO11" s="32">
        <f t="shared" si="30"/>
        <v>133.91813974849558</v>
      </c>
      <c r="AP11" s="22">
        <f t="shared" si="31"/>
        <v>45.981471816812963</v>
      </c>
      <c r="AQ11" s="51">
        <f t="shared" si="32"/>
        <v>-1.8577495101694784E-2</v>
      </c>
      <c r="AR11" s="51">
        <f>COS($A$2*AH11)*SIN($A$2*input!$D$2) - TAN($A$2*AF11)*COS($A$2*input!$D$2)</f>
        <v>0.58697665118308584</v>
      </c>
      <c r="AS11" s="51">
        <f t="shared" si="33"/>
        <v>358.18722453189093</v>
      </c>
    </row>
    <row r="12" spans="1:61">
      <c r="A12" s="55" t="s">
        <v>53</v>
      </c>
      <c r="B12" s="1"/>
      <c r="C12" s="17">
        <f t="shared" si="34"/>
        <v>21.411944444444444</v>
      </c>
      <c r="D12" s="97" t="str">
        <f>caldat!$T$12</f>
        <v>2020  04-05    21:24:43</v>
      </c>
      <c r="E12" s="97"/>
      <c r="F12" s="97"/>
      <c r="G12" s="38">
        <f t="shared" si="0"/>
        <v>49.639445212851683</v>
      </c>
      <c r="H12" s="37">
        <f t="shared" si="1"/>
        <v>49.653797307909109</v>
      </c>
      <c r="I12" s="38">
        <f t="shared" si="2"/>
        <v>92.483314640254207</v>
      </c>
      <c r="J12" s="38">
        <f t="shared" si="3"/>
        <v>176.56241252853619</v>
      </c>
      <c r="K12" s="25">
        <f t="shared" si="35"/>
        <v>2458945.3921643342</v>
      </c>
      <c r="L12" s="49">
        <f t="shared" si="4"/>
        <v>0.20261169512208593</v>
      </c>
      <c r="M12" s="25">
        <f>MOD(280.46061837+360.98564736629*(K12-2451545)+0.000387933*L12^2-L12^3/38710000+input!$E$2,360)</f>
        <v>165.81684089265764</v>
      </c>
      <c r="N12" s="31">
        <f t="shared" si="5"/>
        <v>0.46893627006755878</v>
      </c>
      <c r="O12" s="25">
        <f t="shared" si="6"/>
        <v>-13809.697793202782</v>
      </c>
      <c r="P12" s="32">
        <f t="shared" si="7"/>
        <v>5.9521730513847659</v>
      </c>
      <c r="Q12" s="33">
        <f t="shared" si="8"/>
        <v>1.5944702377144719</v>
      </c>
      <c r="R12" s="33">
        <f t="shared" si="9"/>
        <v>2.6908455566841294</v>
      </c>
      <c r="S12" s="33">
        <f t="shared" si="10"/>
        <v>1.3203539846021637</v>
      </c>
      <c r="T12" s="33">
        <f t="shared" si="11"/>
        <v>1.2569839579110058</v>
      </c>
      <c r="U12" s="33">
        <f t="shared" si="12"/>
        <v>-4.0613371287660947</v>
      </c>
      <c r="V12" s="22">
        <f t="shared" si="13"/>
        <v>-375.00909445126575</v>
      </c>
      <c r="W12" s="33">
        <f t="shared" si="14"/>
        <v>2.8794621778707548</v>
      </c>
      <c r="X12" s="25">
        <f t="shared" si="15"/>
        <v>164.9810300595426</v>
      </c>
      <c r="Y12" s="33">
        <f t="shared" si="16"/>
        <v>8.358450543179792E-2</v>
      </c>
      <c r="Z12" s="33">
        <f t="shared" si="17"/>
        <v>-0.96246818741655105</v>
      </c>
      <c r="AA12" s="33">
        <f t="shared" si="18"/>
        <v>0.25823414433669306</v>
      </c>
      <c r="AB12" s="33">
        <f t="shared" si="19"/>
        <v>8.3487214049785236E-2</v>
      </c>
      <c r="AC12" s="33">
        <f t="shared" si="20"/>
        <v>0.20372410672670754</v>
      </c>
      <c r="AD12" s="33">
        <f t="shared" si="21"/>
        <v>0.17930832816549197</v>
      </c>
      <c r="AE12" s="33">
        <f t="shared" si="22"/>
        <v>0.98379292711957234</v>
      </c>
      <c r="AF12" s="25">
        <f t="shared" si="23"/>
        <v>10.329474478596479</v>
      </c>
      <c r="AG12" s="33">
        <f t="shared" si="24"/>
        <v>11.203246442890547</v>
      </c>
      <c r="AH12" s="25">
        <f t="shared" si="25"/>
        <v>357.76814424929944</v>
      </c>
      <c r="AI12" s="32">
        <f t="shared" si="26"/>
        <v>1.0146135051163008</v>
      </c>
      <c r="AJ12" s="33">
        <f>ASIN(COS($A$2*input!$D$2)*COS($A$2*AF12)*COS($A$2*AH12)+SIN($A$2*input!$D$2)*SIN($A$2*AF12))/$A$2</f>
        <v>50.286439109571319</v>
      </c>
      <c r="AK12" s="32">
        <f>ASIN((0.9983271+0.0016764*COS($A$2*2*input!$D$2))*COS($A$2*AJ12)*SIN($A$2*AI12))/$A$2</f>
        <v>0.64699389671963492</v>
      </c>
      <c r="AL12" s="32">
        <f t="shared" si="27"/>
        <v>49.639445212851683</v>
      </c>
      <c r="AM12" s="25">
        <f t="shared" si="28"/>
        <v>14.64346965567438</v>
      </c>
      <c r="AN12" s="32">
        <f t="shared" si="29"/>
        <v>16.555322304740198</v>
      </c>
      <c r="AO12" s="32">
        <f t="shared" si="30"/>
        <v>148.10172801735948</v>
      </c>
      <c r="AP12" s="22">
        <f t="shared" si="31"/>
        <v>31.824607916298508</v>
      </c>
      <c r="AQ12" s="51">
        <f t="shared" si="32"/>
        <v>-3.8943381051615329E-2</v>
      </c>
      <c r="AR12" s="51">
        <f>COS($A$2*AH12)*SIN($A$2*input!$D$2) - TAN($A$2*AF12)*COS($A$2*input!$D$2)</f>
        <v>0.64830740992213798</v>
      </c>
      <c r="AS12" s="51">
        <f t="shared" si="33"/>
        <v>356.56241252853619</v>
      </c>
    </row>
    <row r="13" spans="1:61" ht="17">
      <c r="A13" s="56" t="s">
        <v>54</v>
      </c>
      <c r="B13" s="1"/>
      <c r="C13" s="17">
        <f t="shared" si="34"/>
        <v>22.253138888888888</v>
      </c>
      <c r="D13" s="97" t="str">
        <f>caldat!$T$13</f>
        <v>2020  04-06    22:15:11,3</v>
      </c>
      <c r="E13" s="97"/>
      <c r="F13" s="97"/>
      <c r="G13" s="38">
        <f t="shared" si="0"/>
        <v>43.525903475733777</v>
      </c>
      <c r="H13" s="37">
        <f t="shared" si="1"/>
        <v>43.543669552669542</v>
      </c>
      <c r="I13" s="38">
        <f t="shared" si="2"/>
        <v>97.668224066067751</v>
      </c>
      <c r="J13" s="38">
        <f t="shared" si="3"/>
        <v>175.5979843604992</v>
      </c>
      <c r="K13" s="25">
        <f t="shared" si="35"/>
        <v>2458946.427214101</v>
      </c>
      <c r="L13" s="49">
        <f t="shared" si="4"/>
        <v>0.2026400332402726</v>
      </c>
      <c r="M13" s="25">
        <f>MOD(280.46061837+360.98564736629*(K13-2451545)+0.000387933*L13^2-L13^3/38710000+input!$E$2,360)</f>
        <v>179.45495101017877</v>
      </c>
      <c r="N13" s="31">
        <f t="shared" si="5"/>
        <v>0.50682023143207289</v>
      </c>
      <c r="O13" s="25">
        <f t="shared" si="6"/>
        <v>-6418.8481268920696</v>
      </c>
      <c r="P13" s="32">
        <f t="shared" si="7"/>
        <v>6.1881924933665271</v>
      </c>
      <c r="Q13" s="33">
        <f t="shared" si="8"/>
        <v>1.6122751326132492</v>
      </c>
      <c r="R13" s="33">
        <f t="shared" si="9"/>
        <v>2.9110717604684124</v>
      </c>
      <c r="S13" s="33">
        <f t="shared" si="10"/>
        <v>1.5593425450539127</v>
      </c>
      <c r="T13" s="33">
        <f t="shared" si="11"/>
        <v>1.5308894295154161</v>
      </c>
      <c r="U13" s="33">
        <f t="shared" si="12"/>
        <v>-4.2628009758829126</v>
      </c>
      <c r="V13" s="22">
        <f t="shared" si="13"/>
        <v>-447.44665678577383</v>
      </c>
      <c r="W13" s="33">
        <f t="shared" si="14"/>
        <v>3.1533259776265421</v>
      </c>
      <c r="X13" s="25">
        <f t="shared" si="15"/>
        <v>180.67226994696512</v>
      </c>
      <c r="Y13" s="33">
        <f t="shared" si="16"/>
        <v>8.7546724635943166E-2</v>
      </c>
      <c r="Z13" s="33">
        <f t="shared" si="17"/>
        <v>-0.99610166148614721</v>
      </c>
      <c r="AA13" s="33">
        <f t="shared" si="18"/>
        <v>-1.1688119943987003E-2</v>
      </c>
      <c r="AB13" s="33">
        <f t="shared" si="19"/>
        <v>8.7434934875665893E-2</v>
      </c>
      <c r="AC13" s="33">
        <f t="shared" si="20"/>
        <v>-4.5499796116913085E-2</v>
      </c>
      <c r="AD13" s="33">
        <f t="shared" si="21"/>
        <v>7.5572802897975827E-2</v>
      </c>
      <c r="AE13" s="33">
        <f t="shared" si="22"/>
        <v>0.99714028675113897</v>
      </c>
      <c r="AF13" s="25">
        <f t="shared" si="23"/>
        <v>4.3341349012175279</v>
      </c>
      <c r="AG13" s="33">
        <f t="shared" si="24"/>
        <v>12.174355393005817</v>
      </c>
      <c r="AH13" s="25">
        <f t="shared" si="25"/>
        <v>356.83962011509152</v>
      </c>
      <c r="AI13" s="32">
        <f t="shared" si="26"/>
        <v>1.0215391646562366</v>
      </c>
      <c r="AJ13" s="33">
        <f>ASIN(COS($A$2*input!$D$2)*COS($A$2*AF13)*COS($A$2*AH13)+SIN($A$2*input!$D$2)*SIN($A$2*AF13))/$A$2</f>
        <v>44.256102150670408</v>
      </c>
      <c r="AK13" s="32">
        <f>ASIN((0.9983271+0.0016764*COS($A$2*2*input!$D$2))*COS($A$2*AJ13)*SIN($A$2*AI13))/$A$2</f>
        <v>0.73019867493663315</v>
      </c>
      <c r="AL13" s="32">
        <f t="shared" si="27"/>
        <v>43.525903475733777</v>
      </c>
      <c r="AM13" s="25">
        <f t="shared" si="28"/>
        <v>15.663663729346808</v>
      </c>
      <c r="AN13" s="32">
        <f t="shared" si="29"/>
        <v>17.573698355725487</v>
      </c>
      <c r="AO13" s="32">
        <f t="shared" si="30"/>
        <v>162.39077855203971</v>
      </c>
      <c r="AP13" s="22">
        <f t="shared" si="31"/>
        <v>17.567034344081645</v>
      </c>
      <c r="AQ13" s="51">
        <f t="shared" si="32"/>
        <v>-5.5131068457460748E-2</v>
      </c>
      <c r="AR13" s="51">
        <f>COS($A$2*AH13)*SIN($A$2*input!$D$2) - TAN($A$2*AF13)*COS($A$2*input!$D$2)</f>
        <v>0.71616280935984344</v>
      </c>
      <c r="AS13" s="51">
        <f t="shared" si="33"/>
        <v>355.5979843604992</v>
      </c>
    </row>
    <row r="14" spans="1:61">
      <c r="A14" s="55" t="s">
        <v>55</v>
      </c>
      <c r="B14"/>
      <c r="C14" s="17">
        <f t="shared" si="34"/>
        <v>23.094333333333331</v>
      </c>
      <c r="D14" s="97" t="str">
        <f>caldat!$T$14</f>
        <v>2020  04-07    23:05:39,6</v>
      </c>
      <c r="E14" s="97"/>
      <c r="F14" s="97"/>
      <c r="G14" s="38">
        <f t="shared" si="0"/>
        <v>37.086801309526663</v>
      </c>
      <c r="H14" s="37">
        <f t="shared" si="1"/>
        <v>37.109092054110313</v>
      </c>
      <c r="I14" s="38">
        <f t="shared" si="2"/>
        <v>99.788008462532858</v>
      </c>
      <c r="J14" s="38">
        <f t="shared" si="3"/>
        <v>174.95309474666089</v>
      </c>
      <c r="K14" s="25">
        <f t="shared" si="35"/>
        <v>2458947.4622638677</v>
      </c>
      <c r="L14" s="49">
        <f t="shared" si="4"/>
        <v>0.20266837135845928</v>
      </c>
      <c r="M14" s="25">
        <f>MOD(280.46061837+360.98564736629*(K14-2451545)+0.000387933*L14^2-L14^3/38710000+input!$E$2,360)</f>
        <v>193.09306112723425</v>
      </c>
      <c r="N14" s="31">
        <f t="shared" si="5"/>
        <v>0.54470419279664384</v>
      </c>
      <c r="O14" s="25">
        <f t="shared" si="6"/>
        <v>1486.827256449784</v>
      </c>
      <c r="P14" s="32">
        <f t="shared" si="7"/>
        <v>0.14102662816870226</v>
      </c>
      <c r="Q14" s="33">
        <f t="shared" si="8"/>
        <v>1.6300800275120264</v>
      </c>
      <c r="R14" s="33">
        <f t="shared" si="9"/>
        <v>3.1312979642525174</v>
      </c>
      <c r="S14" s="33">
        <f t="shared" si="10"/>
        <v>1.7983311055053044</v>
      </c>
      <c r="T14" s="33">
        <f t="shared" si="11"/>
        <v>1.8072797607133246</v>
      </c>
      <c r="U14" s="33">
        <f t="shared" si="12"/>
        <v>-4.4642648229997306</v>
      </c>
      <c r="V14" s="22">
        <f t="shared" si="13"/>
        <v>-495.02026228512568</v>
      </c>
      <c r="W14" s="33">
        <f t="shared" si="14"/>
        <v>3.4296857228927236</v>
      </c>
      <c r="X14" s="25">
        <f t="shared" si="15"/>
        <v>196.50651697802783</v>
      </c>
      <c r="Y14" s="33">
        <f t="shared" si="16"/>
        <v>8.4888590088892046E-2</v>
      </c>
      <c r="Z14" s="33">
        <f t="shared" si="17"/>
        <v>-0.95533495201094154</v>
      </c>
      <c r="AA14" s="33">
        <f t="shared" si="18"/>
        <v>-0.28310130568067499</v>
      </c>
      <c r="AB14" s="33">
        <f t="shared" si="19"/>
        <v>8.4786674590698316E-2</v>
      </c>
      <c r="AC14" s="33">
        <f t="shared" si="20"/>
        <v>-0.29346816800040909</v>
      </c>
      <c r="AD14" s="33">
        <f t="shared" si="21"/>
        <v>-3.4807525576168702E-2</v>
      </c>
      <c r="AE14" s="33">
        <f t="shared" si="22"/>
        <v>0.99939403448452924</v>
      </c>
      <c r="AF14" s="25">
        <f t="shared" si="23"/>
        <v>-1.9947272390604154</v>
      </c>
      <c r="AG14" s="33">
        <f t="shared" si="24"/>
        <v>13.138424652994651</v>
      </c>
      <c r="AH14" s="25">
        <f t="shared" si="25"/>
        <v>356.01669133231451</v>
      </c>
      <c r="AI14" s="32">
        <f t="shared" si="26"/>
        <v>1.0230059391742352</v>
      </c>
      <c r="AJ14" s="33">
        <f>ASIN(COS($A$2*input!$D$2)*COS($A$2*AF14)*COS($A$2*AH14)+SIN($A$2*input!$D$2)*SIN($A$2*AF14))/$A$2</f>
        <v>37.892519222870519</v>
      </c>
      <c r="AK14" s="32">
        <f>ASIN((0.9983271+0.0016764*COS($A$2*2*input!$D$2))*COS($A$2*AJ14)*SIN($A$2*AI14))/$A$2</f>
        <v>0.80571791334385201</v>
      </c>
      <c r="AL14" s="32">
        <f t="shared" si="27"/>
        <v>37.086801309526663</v>
      </c>
      <c r="AM14" s="25">
        <f t="shared" si="28"/>
        <v>16.683857803020146</v>
      </c>
      <c r="AN14" s="32">
        <f t="shared" si="29"/>
        <v>18.591471218192968</v>
      </c>
      <c r="AO14" s="32">
        <f t="shared" si="30"/>
        <v>174.70918457423187</v>
      </c>
      <c r="AP14" s="22">
        <f t="shared" si="31"/>
        <v>5.2779522203537237</v>
      </c>
      <c r="AQ14" s="51">
        <f t="shared" si="32"/>
        <v>-6.9465861720531472E-2</v>
      </c>
      <c r="AR14" s="51">
        <f>COS($A$2*AH14)*SIN($A$2*input!$D$2) - TAN($A$2*AF14)*COS($A$2*input!$D$2)</f>
        <v>0.78658134416314818</v>
      </c>
      <c r="AS14" s="51">
        <f t="shared" si="33"/>
        <v>354.95309474666089</v>
      </c>
    </row>
    <row r="15" spans="1:61">
      <c r="A15"/>
      <c r="B15"/>
      <c r="C15" s="17">
        <f t="shared" si="34"/>
        <v>23.935527777777775</v>
      </c>
      <c r="D15" s="97" t="str">
        <f>caldat!$T$15</f>
        <v>2020  04-08    23:56:07,9</v>
      </c>
      <c r="E15" s="97"/>
      <c r="F15" s="97"/>
      <c r="G15" s="38">
        <f t="shared" si="0"/>
        <v>30.791759982868435</v>
      </c>
      <c r="H15" s="37">
        <f t="shared" si="1"/>
        <v>30.819964957703601</v>
      </c>
      <c r="I15" s="38">
        <f t="shared" si="2"/>
        <v>98.646931177976938</v>
      </c>
      <c r="J15" s="38">
        <f t="shared" si="3"/>
        <v>174.32136616333668</v>
      </c>
      <c r="K15" s="25">
        <f t="shared" si="35"/>
        <v>2458948.4973136345</v>
      </c>
      <c r="L15" s="49">
        <f t="shared" si="4"/>
        <v>0.20269670947664592</v>
      </c>
      <c r="M15" s="25">
        <f>MOD(280.46061837+360.98564736629*(K15-2451545)+0.000387933*L15^2-L15^3/38710000+input!$E$2,360)</f>
        <v>206.73117124475539</v>
      </c>
      <c r="N15" s="31">
        <f t="shared" si="5"/>
        <v>0.5825881541611011</v>
      </c>
      <c r="O15" s="25">
        <f t="shared" si="6"/>
        <v>9208.6721711060527</v>
      </c>
      <c r="P15" s="32">
        <f t="shared" si="7"/>
        <v>0.37704607015046343</v>
      </c>
      <c r="Q15" s="33">
        <f t="shared" si="8"/>
        <v>1.6478849224108034</v>
      </c>
      <c r="R15" s="33">
        <f t="shared" si="9"/>
        <v>3.3515241680364438</v>
      </c>
      <c r="S15" s="33">
        <f t="shared" si="10"/>
        <v>2.0373196659566961</v>
      </c>
      <c r="T15" s="33">
        <f t="shared" si="11"/>
        <v>2.0829748087391624</v>
      </c>
      <c r="U15" s="33">
        <f t="shared" si="12"/>
        <v>-4.6657286701161915</v>
      </c>
      <c r="V15" s="22">
        <f t="shared" si="13"/>
        <v>-515.1949086126773</v>
      </c>
      <c r="W15" s="33">
        <f t="shared" si="14"/>
        <v>3.7051542328959548</v>
      </c>
      <c r="X15" s="25">
        <f t="shared" si="15"/>
        <v>212.2896999899703</v>
      </c>
      <c r="Y15" s="33">
        <f t="shared" si="16"/>
        <v>7.5768133084938058E-2</v>
      </c>
      <c r="Z15" s="33">
        <f t="shared" si="17"/>
        <v>-0.84293252074389613</v>
      </c>
      <c r="AA15" s="33">
        <f t="shared" si="18"/>
        <v>-0.5326677507685933</v>
      </c>
      <c r="AB15" s="33">
        <f t="shared" si="19"/>
        <v>7.5695658815212313E-2</v>
      </c>
      <c r="AC15" s="33">
        <f t="shared" si="20"/>
        <v>-0.51882964029402678</v>
      </c>
      <c r="AD15" s="33">
        <f t="shared" si="21"/>
        <v>-0.14240986561580643</v>
      </c>
      <c r="AE15" s="33">
        <f t="shared" si="22"/>
        <v>0.98980777435585343</v>
      </c>
      <c r="AF15" s="25">
        <f t="shared" si="23"/>
        <v>-8.187318874186202</v>
      </c>
      <c r="AG15" s="33">
        <f t="shared" si="24"/>
        <v>14.10750183598385</v>
      </c>
      <c r="AH15" s="25">
        <f t="shared" si="25"/>
        <v>355.11864370499762</v>
      </c>
      <c r="AI15" s="32">
        <f t="shared" si="26"/>
        <v>1.0187677643646611</v>
      </c>
      <c r="AJ15" s="33">
        <f>ASIN(COS($A$2*input!$D$2)*COS($A$2*AF15)*COS($A$2*AH15)+SIN($A$2*input!$D$2)*SIN($A$2*AF15))/$A$2</f>
        <v>31.657222523010866</v>
      </c>
      <c r="AK15" s="32">
        <f>ASIN((0.9983271+0.0016764*COS($A$2*2*input!$D$2))*COS($A$2*AJ15)*SIN($A$2*AI15))/$A$2</f>
        <v>0.86546254014243296</v>
      </c>
      <c r="AL15" s="32">
        <f t="shared" si="27"/>
        <v>30.791759982868435</v>
      </c>
      <c r="AM15" s="25">
        <f t="shared" si="28"/>
        <v>17.704051876693484</v>
      </c>
      <c r="AN15" s="32">
        <f t="shared" si="29"/>
        <v>19.608642326695843</v>
      </c>
      <c r="AO15" s="32">
        <f t="shared" si="30"/>
        <v>166.60797477899482</v>
      </c>
      <c r="AP15" s="22">
        <f t="shared" si="31"/>
        <v>13.359704462092669</v>
      </c>
      <c r="AQ15" s="51">
        <f t="shared" si="32"/>
        <v>-8.5092713802909642E-2</v>
      </c>
      <c r="AR15" s="51">
        <f>COS($A$2*AH15)*SIN($A$2*input!$D$2) - TAN($A$2*AF15)*COS($A$2*input!$D$2)</f>
        <v>0.85574792216850981</v>
      </c>
      <c r="AS15" s="51">
        <f t="shared" si="33"/>
        <v>354.32136616333668</v>
      </c>
    </row>
    <row r="16" spans="1:61">
      <c r="A16"/>
      <c r="B16"/>
      <c r="C16" s="17">
        <f t="shared" si="34"/>
        <v>0.77672222222221876</v>
      </c>
      <c r="D16" s="97" t="str">
        <f>caldat!$T$16</f>
        <v>2020  04-10    00:46:36,2</v>
      </c>
      <c r="E16" s="97"/>
      <c r="F16" s="97"/>
      <c r="G16" s="38">
        <f t="shared" si="0"/>
        <v>25.094282168957267</v>
      </c>
      <c r="H16" s="37">
        <f t="shared" si="1"/>
        <v>25.130027243221662</v>
      </c>
      <c r="I16" s="38">
        <f t="shared" si="2"/>
        <v>94.409888834976627</v>
      </c>
      <c r="J16" s="38">
        <f t="shared" si="3"/>
        <v>173.50376878185864</v>
      </c>
      <c r="K16" s="25">
        <f t="shared" si="35"/>
        <v>2458949.5323634013</v>
      </c>
      <c r="L16" s="49">
        <f t="shared" si="4"/>
        <v>0.20272504759483259</v>
      </c>
      <c r="M16" s="25">
        <f>MOD(280.46061837+360.98564736629*(K16-2451545)+0.000387933*L16^2-L16^3/38710000+input!$E$2,360)</f>
        <v>220.36928136227652</v>
      </c>
      <c r="N16" s="31">
        <f t="shared" si="5"/>
        <v>0.62047211552561521</v>
      </c>
      <c r="O16" s="25">
        <f t="shared" si="6"/>
        <v>16072.453143762457</v>
      </c>
      <c r="P16" s="32">
        <f t="shared" si="7"/>
        <v>0.6130655121322246</v>
      </c>
      <c r="Q16" s="33">
        <f t="shared" si="8"/>
        <v>1.6656898173095807</v>
      </c>
      <c r="R16" s="33">
        <f t="shared" si="9"/>
        <v>3.5717503718207273</v>
      </c>
      <c r="S16" s="33">
        <f t="shared" si="10"/>
        <v>2.2763082264084451</v>
      </c>
      <c r="T16" s="33">
        <f t="shared" si="11"/>
        <v>2.3548687279148797</v>
      </c>
      <c r="U16" s="33">
        <f t="shared" si="12"/>
        <v>-4.8671925172330095</v>
      </c>
      <c r="V16" s="22">
        <f t="shared" si="13"/>
        <v>-507.42375330845783</v>
      </c>
      <c r="W16" s="33">
        <f t="shared" si="14"/>
        <v>3.9764627315160608</v>
      </c>
      <c r="X16" s="25">
        <f t="shared" si="15"/>
        <v>227.83453190693328</v>
      </c>
      <c r="Y16" s="33">
        <f t="shared" si="16"/>
        <v>6.1113401886067543E-2</v>
      </c>
      <c r="Z16" s="33">
        <f t="shared" si="17"/>
        <v>-0.67002082476046487</v>
      </c>
      <c r="AA16" s="33">
        <f t="shared" si="18"/>
        <v>-0.73982558341722382</v>
      </c>
      <c r="AB16" s="33">
        <f t="shared" si="19"/>
        <v>6.1075367446056371E-2</v>
      </c>
      <c r="AC16" s="33">
        <f t="shared" si="20"/>
        <v>-0.70308201237433499</v>
      </c>
      <c r="AD16" s="33">
        <f t="shared" si="21"/>
        <v>-0.23821792179213114</v>
      </c>
      <c r="AE16" s="33">
        <f t="shared" si="22"/>
        <v>0.97121172858292748</v>
      </c>
      <c r="AF16" s="25">
        <f t="shared" si="23"/>
        <v>-13.781384502441037</v>
      </c>
      <c r="AG16" s="33">
        <f t="shared" si="24"/>
        <v>15.091952354596042</v>
      </c>
      <c r="AH16" s="25">
        <f t="shared" si="25"/>
        <v>353.98999604333585</v>
      </c>
      <c r="AI16" s="32">
        <f t="shared" si="26"/>
        <v>1.0093323817018482</v>
      </c>
      <c r="AJ16" s="33">
        <f>ASIN(COS($A$2*input!$D$2)*COS($A$2*AF16)*COS($A$2*AH16)+SIN($A$2*input!$D$2)*SIN($A$2*AF16))/$A$2</f>
        <v>25.999675746487313</v>
      </c>
      <c r="AK16" s="32">
        <f>ASIN((0.9983271+0.0016764*COS($A$2*2*input!$D$2))*COS($A$2*AJ16)*SIN($A$2*AI16))/$A$2</f>
        <v>0.90539357753004368</v>
      </c>
      <c r="AL16" s="32">
        <f t="shared" si="27"/>
        <v>25.094282168957267</v>
      </c>
      <c r="AM16" s="25">
        <f t="shared" si="28"/>
        <v>18.724245950367731</v>
      </c>
      <c r="AN16" s="32">
        <f t="shared" si="29"/>
        <v>20.625213301635387</v>
      </c>
      <c r="AO16" s="32">
        <f t="shared" si="30"/>
        <v>152.58336771754955</v>
      </c>
      <c r="AP16" s="22">
        <f t="shared" si="31"/>
        <v>27.352353271905304</v>
      </c>
      <c r="AQ16" s="51">
        <f t="shared" si="32"/>
        <v>-0.10470210716754168</v>
      </c>
      <c r="AR16" s="51">
        <f>COS($A$2*AH16)*SIN($A$2*input!$D$2) - TAN($A$2*AF16)*COS($A$2*input!$D$2)</f>
        <v>0.91949633411871401</v>
      </c>
      <c r="AS16" s="51">
        <f t="shared" si="33"/>
        <v>353.50376878185864</v>
      </c>
    </row>
    <row r="17" spans="1:45">
      <c r="A17"/>
      <c r="B17"/>
      <c r="C17" s="17">
        <f t="shared" si="34"/>
        <v>1.6179166666666633</v>
      </c>
      <c r="D17" s="97" t="str">
        <f>caldat!$T$17</f>
        <v>2020  04-11    01:37:04,5</v>
      </c>
      <c r="E17" s="97"/>
      <c r="F17" s="97"/>
      <c r="G17" s="38">
        <f t="shared" si="0"/>
        <v>20.39043660222228</v>
      </c>
      <c r="H17" s="37">
        <f t="shared" si="1"/>
        <v>20.435202712599029</v>
      </c>
      <c r="I17" s="38">
        <f t="shared" si="2"/>
        <v>87.555651522431035</v>
      </c>
      <c r="J17" s="38">
        <f t="shared" si="3"/>
        <v>172.43045433374959</v>
      </c>
      <c r="K17" s="25">
        <f t="shared" si="35"/>
        <v>2458950.567413168</v>
      </c>
      <c r="L17" s="49">
        <f t="shared" si="4"/>
        <v>0.20275338571301924</v>
      </c>
      <c r="M17" s="25">
        <f>MOD(280.46061837+360.98564736629*(K17-2451545)+0.000387933*L17^2-L17^3/38710000+input!$E$2,360)</f>
        <v>234.00739147979766</v>
      </c>
      <c r="N17" s="31">
        <f t="shared" si="5"/>
        <v>0.65835607689007247</v>
      </c>
      <c r="O17" s="25">
        <f t="shared" si="6"/>
        <v>21527.831345689003</v>
      </c>
      <c r="P17" s="32">
        <f t="shared" si="7"/>
        <v>0.84908495411398588</v>
      </c>
      <c r="Q17" s="33">
        <f t="shared" si="8"/>
        <v>1.6834947122083579</v>
      </c>
      <c r="R17" s="33">
        <f t="shared" si="9"/>
        <v>3.7919765756046533</v>
      </c>
      <c r="S17" s="33">
        <f t="shared" si="10"/>
        <v>2.515296786859837</v>
      </c>
      <c r="T17" s="33">
        <f t="shared" si="11"/>
        <v>2.6203757032788171</v>
      </c>
      <c r="U17" s="33">
        <f t="shared" si="12"/>
        <v>-5.0686563643494695</v>
      </c>
      <c r="V17" s="22">
        <f t="shared" si="13"/>
        <v>-473.12762686246469</v>
      </c>
      <c r="W17" s="33">
        <f t="shared" si="14"/>
        <v>4.2409431008181846</v>
      </c>
      <c r="X17" s="25">
        <f t="shared" si="15"/>
        <v>242.98814083200637</v>
      </c>
      <c r="Y17" s="33">
        <f t="shared" si="16"/>
        <v>4.2414625680901971E-2</v>
      </c>
      <c r="Z17" s="33">
        <f t="shared" si="17"/>
        <v>-0.45376644270681366</v>
      </c>
      <c r="AA17" s="33">
        <f t="shared" si="18"/>
        <v>-0.89011128155063657</v>
      </c>
      <c r="AB17" s="33">
        <f t="shared" si="19"/>
        <v>4.2401909502842242E-2</v>
      </c>
      <c r="AC17" s="33">
        <f t="shared" si="20"/>
        <v>-0.83354209844242522</v>
      </c>
      <c r="AD17" s="33">
        <f t="shared" si="21"/>
        <v>-0.31512471435512973</v>
      </c>
      <c r="AE17" s="33">
        <f t="shared" si="22"/>
        <v>0.94905026969207373</v>
      </c>
      <c r="AF17" s="25">
        <f t="shared" si="23"/>
        <v>-18.368342847501971</v>
      </c>
      <c r="AG17" s="33">
        <f t="shared" si="24"/>
        <v>16.095790881366213</v>
      </c>
      <c r="AH17" s="25">
        <f t="shared" si="25"/>
        <v>352.57052825930447</v>
      </c>
      <c r="AI17" s="32">
        <f t="shared" si="26"/>
        <v>0.99585411169514826</v>
      </c>
      <c r="AJ17" s="33">
        <f>ASIN(COS($A$2*input!$D$2)*COS($A$2*AF17)*COS($A$2*AH17)+SIN($A$2*input!$D$2)*SIN($A$2*AF17))/$A$2</f>
        <v>21.316333603769515</v>
      </c>
      <c r="AK17" s="32">
        <f>ASIN((0.9983271+0.0016764*COS($A$2*2*input!$D$2))*COS($A$2*AJ17)*SIN($A$2*AI17))/$A$2</f>
        <v>0.9258970015472342</v>
      </c>
      <c r="AL17" s="32">
        <f t="shared" si="27"/>
        <v>20.39043660222228</v>
      </c>
      <c r="AM17" s="25">
        <f t="shared" si="28"/>
        <v>19.744440024042888</v>
      </c>
      <c r="AN17" s="32">
        <f t="shared" si="29"/>
        <v>21.641185947917794</v>
      </c>
      <c r="AO17" s="32">
        <f t="shared" si="30"/>
        <v>138.59452073974541</v>
      </c>
      <c r="AP17" s="22">
        <f t="shared" si="31"/>
        <v>41.313115784431666</v>
      </c>
      <c r="AQ17" s="51">
        <f t="shared" si="32"/>
        <v>-0.12930567424933931</v>
      </c>
      <c r="AR17" s="51">
        <f>COS($A$2*AH17)*SIN($A$2*input!$D$2) - TAN($A$2*AF17)*COS($A$2*input!$D$2)</f>
        <v>0.97304592765499587</v>
      </c>
      <c r="AS17" s="51">
        <f t="shared" si="33"/>
        <v>352.43045433374959</v>
      </c>
    </row>
    <row r="18" spans="1:45">
      <c r="A18"/>
      <c r="B18"/>
      <c r="C18" s="17">
        <f t="shared" si="34"/>
        <v>2.4591111111111079</v>
      </c>
      <c r="D18" s="97" t="str">
        <f>caldat!$T$18</f>
        <v>2020  04-12    02:27:32,8</v>
      </c>
      <c r="E18" s="97"/>
      <c r="F18" s="97"/>
      <c r="G18" s="38">
        <f t="shared" si="0"/>
        <v>16.978064872813839</v>
      </c>
      <c r="H18" s="37">
        <f t="shared" si="1"/>
        <v>17.032165052502602</v>
      </c>
      <c r="I18" s="38">
        <f t="shared" si="2"/>
        <v>78.757374965016709</v>
      </c>
      <c r="J18" s="38">
        <f t="shared" si="3"/>
        <v>171.15510521923903</v>
      </c>
      <c r="K18" s="25">
        <f t="shared" si="35"/>
        <v>2458951.6024629348</v>
      </c>
      <c r="L18" s="49">
        <f t="shared" si="4"/>
        <v>0.20278172383120591</v>
      </c>
      <c r="M18" s="25">
        <f>MOD(280.46061837+360.98564736629*(K18-2451545)+0.000387933*L18^2-L18^3/38710000+input!$E$2,360)</f>
        <v>247.6455015973188</v>
      </c>
      <c r="N18" s="31">
        <f t="shared" si="5"/>
        <v>0.69624003825464342</v>
      </c>
      <c r="O18" s="25">
        <f t="shared" si="6"/>
        <v>25219.606744755871</v>
      </c>
      <c r="P18" s="32">
        <f t="shared" si="7"/>
        <v>1.0851043960957469</v>
      </c>
      <c r="Q18" s="33">
        <f t="shared" si="8"/>
        <v>1.7012996071071351</v>
      </c>
      <c r="R18" s="33">
        <f t="shared" si="9"/>
        <v>4.0122027793889368</v>
      </c>
      <c r="S18" s="33">
        <f t="shared" si="10"/>
        <v>2.7542853473112285</v>
      </c>
      <c r="T18" s="33">
        <f t="shared" si="11"/>
        <v>2.8777569044240918</v>
      </c>
      <c r="U18" s="33">
        <f t="shared" si="12"/>
        <v>-5.2701202114666454</v>
      </c>
      <c r="V18" s="22">
        <f t="shared" si="13"/>
        <v>-415.44009018612701</v>
      </c>
      <c r="W18" s="33">
        <f t="shared" si="14"/>
        <v>4.4968732824523281</v>
      </c>
      <c r="X18" s="25">
        <f t="shared" si="15"/>
        <v>257.65186008965935</v>
      </c>
      <c r="Y18" s="33">
        <f t="shared" si="16"/>
        <v>2.1401164367267089E-2</v>
      </c>
      <c r="Z18" s="33">
        <f t="shared" si="17"/>
        <v>-0.21380225350259813</v>
      </c>
      <c r="AA18" s="33">
        <f t="shared" si="18"/>
        <v>-0.97664254283796315</v>
      </c>
      <c r="AB18" s="33">
        <f t="shared" si="19"/>
        <v>2.1399530747380244E-2</v>
      </c>
      <c r="AC18" s="33">
        <f t="shared" si="20"/>
        <v>-0.904581176643937</v>
      </c>
      <c r="AD18" s="33">
        <f t="shared" si="21"/>
        <v>-0.36881091531932886</v>
      </c>
      <c r="AE18" s="33">
        <f t="shared" si="22"/>
        <v>0.92950444256136766</v>
      </c>
      <c r="AF18" s="25">
        <f t="shared" si="23"/>
        <v>-21.642302031707917</v>
      </c>
      <c r="AG18" s="33">
        <f t="shared" si="24"/>
        <v>17.113460009685127</v>
      </c>
      <c r="AH18" s="25">
        <f t="shared" si="25"/>
        <v>350.94360145204189</v>
      </c>
      <c r="AI18" s="32">
        <f t="shared" si="26"/>
        <v>0.9798941959651204</v>
      </c>
      <c r="AJ18" s="33">
        <f>ASIN(COS($A$2*input!$D$2)*COS($A$2*AF18)*COS($A$2*AH18)+SIN($A$2*input!$D$2)*SIN($A$2*AF18))/$A$2</f>
        <v>17.9086455295086</v>
      </c>
      <c r="AK18" s="32">
        <f>ASIN((0.9983271+0.0016764*COS($A$2*2*input!$D$2))*COS($A$2*AJ18)*SIN($A$2*AI18))/$A$2</f>
        <v>0.9305806566947612</v>
      </c>
      <c r="AL18" s="32">
        <f t="shared" si="27"/>
        <v>16.978064872813839</v>
      </c>
      <c r="AM18" s="25">
        <f t="shared" si="28"/>
        <v>20.764634097718044</v>
      </c>
      <c r="AN18" s="32">
        <f t="shared" si="29"/>
        <v>22.656562253565717</v>
      </c>
      <c r="AO18" s="32">
        <f t="shared" si="30"/>
        <v>124.99551399185003</v>
      </c>
      <c r="AP18" s="22">
        <f t="shared" si="31"/>
        <v>54.890037684599761</v>
      </c>
      <c r="AQ18" s="51">
        <f t="shared" si="32"/>
        <v>-0.15740661058855168</v>
      </c>
      <c r="AR18" s="51">
        <f>COS($A$2*AH18)*SIN($A$2*input!$D$2) - TAN($A$2*AF18)*COS($A$2*input!$D$2)</f>
        <v>1.0115415886075407</v>
      </c>
      <c r="AS18" s="51">
        <f t="shared" si="33"/>
        <v>351.15510521923903</v>
      </c>
    </row>
    <row r="19" spans="1:45">
      <c r="A19"/>
      <c r="B19"/>
      <c r="C19" s="17">
        <f t="shared" si="34"/>
        <v>3.3003055555555525</v>
      </c>
      <c r="D19" s="97" t="str">
        <f>caldat!$T$19</f>
        <v>2020  04-13    03:18:01,1</v>
      </c>
      <c r="E19" s="97"/>
      <c r="F19" s="97"/>
      <c r="G19" s="38">
        <f t="shared" si="0"/>
        <v>15.027823147729679</v>
      </c>
      <c r="H19" s="37">
        <f t="shared" si="1"/>
        <v>15.088960300867072</v>
      </c>
      <c r="I19" s="38">
        <f t="shared" si="2"/>
        <v>68.739918794460593</v>
      </c>
      <c r="J19" s="38">
        <f t="shared" si="3"/>
        <v>169.8270394319668</v>
      </c>
      <c r="K19" s="25">
        <f t="shared" si="35"/>
        <v>2458952.6375127016</v>
      </c>
      <c r="L19" s="49">
        <f t="shared" si="4"/>
        <v>0.20281006194939258</v>
      </c>
      <c r="M19" s="25">
        <f>MOD(280.46061837+360.98564736629*(K19-2451545)+0.000387933*L19^2-L19^3/38710000+input!$E$2,360)</f>
        <v>261.28361171437427</v>
      </c>
      <c r="N19" s="31">
        <f t="shared" si="5"/>
        <v>0.73412399961915753</v>
      </c>
      <c r="O19" s="25">
        <f t="shared" si="6"/>
        <v>27016.374109189997</v>
      </c>
      <c r="P19" s="32">
        <f t="shared" si="7"/>
        <v>1.3211238380778654</v>
      </c>
      <c r="Q19" s="33">
        <f t="shared" si="8"/>
        <v>1.7191045020059124</v>
      </c>
      <c r="R19" s="33">
        <f t="shared" si="9"/>
        <v>4.2324289831730413</v>
      </c>
      <c r="S19" s="33">
        <f t="shared" si="10"/>
        <v>2.9932739077629775</v>
      </c>
      <c r="T19" s="33">
        <f t="shared" si="11"/>
        <v>3.1262631734490185</v>
      </c>
      <c r="U19" s="33">
        <f t="shared" si="12"/>
        <v>-5.4715840585831046</v>
      </c>
      <c r="V19" s="22">
        <f t="shared" si="13"/>
        <v>-338.76528207202671</v>
      </c>
      <c r="W19" s="33">
        <f t="shared" si="14"/>
        <v>4.7436162058760898</v>
      </c>
      <c r="X19" s="25">
        <f t="shared" si="15"/>
        <v>271.78918822656055</v>
      </c>
      <c r="Y19" s="33">
        <f t="shared" si="16"/>
        <v>-2.660387387749059E-4</v>
      </c>
      <c r="Z19" s="33">
        <f t="shared" si="17"/>
        <v>3.1222149483186537E-2</v>
      </c>
      <c r="AA19" s="33">
        <f t="shared" si="18"/>
        <v>-0.99951243444243387</v>
      </c>
      <c r="AB19" s="33">
        <f t="shared" si="19"/>
        <v>-2.6603873563668586E-4</v>
      </c>
      <c r="AC19" s="33">
        <f t="shared" si="20"/>
        <v>-0.91694715494594714</v>
      </c>
      <c r="AD19" s="33">
        <f t="shared" si="21"/>
        <v>-0.39778523403739202</v>
      </c>
      <c r="AE19" s="33">
        <f t="shared" si="22"/>
        <v>0.9174785597395817</v>
      </c>
      <c r="AF19" s="25">
        <f t="shared" si="23"/>
        <v>-23.439795581174248</v>
      </c>
      <c r="AG19" s="33">
        <f t="shared" si="24"/>
        <v>18.130011601252189</v>
      </c>
      <c r="AH19" s="25">
        <f t="shared" si="25"/>
        <v>349.33343769559144</v>
      </c>
      <c r="AI19" s="32">
        <f t="shared" si="26"/>
        <v>0.96311851315058239</v>
      </c>
      <c r="AJ19" s="33">
        <f>ASIN(COS($A$2*input!$D$2)*COS($A$2*AF19)*COS($A$2*AH19)+SIN($A$2*input!$D$2)*SIN($A$2*AF19))/$A$2</f>
        <v>15.952031837978723</v>
      </c>
      <c r="AK19" s="32">
        <f>ASIN((0.9983271+0.0016764*COS($A$2*2*input!$D$2))*COS($A$2*AJ19)*SIN($A$2*AI19))/$A$2</f>
        <v>0.92420869024904462</v>
      </c>
      <c r="AL19" s="32">
        <f t="shared" si="27"/>
        <v>15.027823147729679</v>
      </c>
      <c r="AM19" s="25">
        <f t="shared" si="28"/>
        <v>21.784828171393201</v>
      </c>
      <c r="AN19" s="32">
        <f t="shared" si="29"/>
        <v>23.671344388285135</v>
      </c>
      <c r="AO19" s="32">
        <f t="shared" si="30"/>
        <v>111.88215534736783</v>
      </c>
      <c r="AP19" s="22">
        <f t="shared" si="31"/>
        <v>67.988148212981883</v>
      </c>
      <c r="AQ19" s="51">
        <f t="shared" si="32"/>
        <v>-0.18509313305312622</v>
      </c>
      <c r="AR19" s="51">
        <f>COS($A$2*AH19)*SIN($A$2*input!$D$2) - TAN($A$2*AF19)*COS($A$2*input!$D$2)</f>
        <v>1.0314972075884117</v>
      </c>
      <c r="AS19" s="51">
        <f t="shared" si="33"/>
        <v>349.8270394319668</v>
      </c>
    </row>
    <row r="20" spans="1:45">
      <c r="A20"/>
      <c r="B20"/>
      <c r="C20" s="17">
        <f t="shared" si="34"/>
        <v>4.1414999999999971</v>
      </c>
      <c r="D20" s="97" t="str">
        <f>caldat!$T$20</f>
        <v>2020  04-14    04:08:29,4</v>
      </c>
      <c r="E20" s="97"/>
      <c r="F20" s="97"/>
      <c r="G20" s="38">
        <f t="shared" si="0"/>
        <v>14.576486717491845</v>
      </c>
      <c r="H20" s="37">
        <f t="shared" si="1"/>
        <v>14.639492881537475</v>
      </c>
      <c r="I20" s="38">
        <f t="shared" si="2"/>
        <v>58.16638624799468</v>
      </c>
      <c r="J20" s="38">
        <f t="shared" si="3"/>
        <v>168.64533764563157</v>
      </c>
      <c r="K20" s="25">
        <f t="shared" si="35"/>
        <v>2458953.6725624683</v>
      </c>
      <c r="L20" s="49">
        <f t="shared" si="4"/>
        <v>0.20283840006757922</v>
      </c>
      <c r="M20" s="25">
        <f>MOD(280.46061837+360.98564736629*(K20-2451545)+0.000387933*L20^2-L20^3/38710000+input!$E$2,360)</f>
        <v>274.92172183236107</v>
      </c>
      <c r="N20" s="31">
        <f t="shared" si="5"/>
        <v>0.77200796098361479</v>
      </c>
      <c r="O20" s="25">
        <f t="shared" si="6"/>
        <v>26994.498886660454</v>
      </c>
      <c r="P20" s="32">
        <f t="shared" si="7"/>
        <v>1.5571432800592695</v>
      </c>
      <c r="Q20" s="33">
        <f t="shared" si="8"/>
        <v>1.7369093969046896</v>
      </c>
      <c r="R20" s="33">
        <f t="shared" si="9"/>
        <v>4.4526551869569682</v>
      </c>
      <c r="S20" s="33">
        <f t="shared" si="10"/>
        <v>3.2322624682143695</v>
      </c>
      <c r="T20" s="33">
        <f t="shared" si="11"/>
        <v>3.3660824621092615</v>
      </c>
      <c r="U20" s="33">
        <f t="shared" si="12"/>
        <v>-5.6730479056995673</v>
      </c>
      <c r="V20" s="22">
        <f t="shared" si="13"/>
        <v>-248.22546671023102</v>
      </c>
      <c r="W20" s="33">
        <f t="shared" si="14"/>
        <v>4.9815421012274106</v>
      </c>
      <c r="X20" s="25">
        <f t="shared" si="15"/>
        <v>285.42133786706256</v>
      </c>
      <c r="Y20" s="33">
        <f t="shared" si="16"/>
        <v>-2.1190935353540628E-2</v>
      </c>
      <c r="Z20" s="33">
        <f t="shared" si="17"/>
        <v>0.26585544052466875</v>
      </c>
      <c r="AA20" s="33">
        <f t="shared" si="18"/>
        <v>-0.96378000405448938</v>
      </c>
      <c r="AB20" s="33">
        <f t="shared" si="19"/>
        <v>-2.11893494039532E-2</v>
      </c>
      <c r="AC20" s="33">
        <f t="shared" si="20"/>
        <v>-0.87584070726319174</v>
      </c>
      <c r="AD20" s="33">
        <f t="shared" si="21"/>
        <v>-0.40277033188176437</v>
      </c>
      <c r="AE20" s="33">
        <f t="shared" si="22"/>
        <v>0.91530107601589406</v>
      </c>
      <c r="AF20" s="25">
        <f t="shared" si="23"/>
        <v>-23.751479928819158</v>
      </c>
      <c r="AG20" s="33">
        <f t="shared" si="24"/>
        <v>19.125687145744372</v>
      </c>
      <c r="AH20" s="25">
        <f t="shared" si="25"/>
        <v>348.03641464619551</v>
      </c>
      <c r="AI20" s="32">
        <f t="shared" si="26"/>
        <v>0.94701536799972508</v>
      </c>
      <c r="AJ20" s="33">
        <f>ASIN(COS($A$2*input!$D$2)*COS($A$2*AF20)*COS($A$2*AH20)+SIN($A$2*input!$D$2)*SIN($A$2*AF20))/$A$2</f>
        <v>15.487320036527294</v>
      </c>
      <c r="AK20" s="32">
        <f>ASIN((0.9983271+0.0016764*COS($A$2*2*input!$D$2))*COS($A$2*AJ20)*SIN($A$2*AI20))/$A$2</f>
        <v>0.9108333190354494</v>
      </c>
      <c r="AL20" s="32">
        <f t="shared" si="27"/>
        <v>14.576486717491845</v>
      </c>
      <c r="AM20" s="25">
        <f t="shared" si="28"/>
        <v>22.805022245069267</v>
      </c>
      <c r="AN20" s="32">
        <f t="shared" si="29"/>
        <v>24.685534701985269</v>
      </c>
      <c r="AO20" s="32">
        <f t="shared" si="30"/>
        <v>99.262098530685776</v>
      </c>
      <c r="AP20" s="22">
        <f t="shared" si="31"/>
        <v>80.599897629047035</v>
      </c>
      <c r="AQ20" s="51">
        <f t="shared" si="32"/>
        <v>-0.20728998180851968</v>
      </c>
      <c r="AR20" s="51">
        <f>COS($A$2*AH20)*SIN($A$2*input!$D$2) - TAN($A$2*AF20)*COS($A$2*input!$D$2)</f>
        <v>1.0322587424835958</v>
      </c>
      <c r="AS20" s="51">
        <f t="shared" si="33"/>
        <v>348.64533764563157</v>
      </c>
    </row>
    <row r="21" spans="1:45">
      <c r="A21"/>
      <c r="B21"/>
      <c r="C21" s="17">
        <f t="shared" si="34"/>
        <v>4.9826944444444417</v>
      </c>
      <c r="D21" s="97" t="str">
        <f>caldat!$T$21</f>
        <v>2020  04-15    04:58:57,7</v>
      </c>
      <c r="E21" s="97"/>
      <c r="F21" s="97"/>
      <c r="G21" s="38">
        <f t="shared" si="0"/>
        <v>15.544450265934245</v>
      </c>
      <c r="H21" s="37">
        <f t="shared" si="1"/>
        <v>15.603568310205198</v>
      </c>
      <c r="I21" s="38">
        <f t="shared" si="2"/>
        <v>47.582013542981969</v>
      </c>
      <c r="J21" s="38">
        <f t="shared" si="3"/>
        <v>167.80802553697742</v>
      </c>
      <c r="K21" s="25">
        <f t="shared" si="35"/>
        <v>2458954.7076122351</v>
      </c>
      <c r="L21" s="49">
        <f t="shared" si="4"/>
        <v>0.20286673818576589</v>
      </c>
      <c r="M21" s="25">
        <f>MOD(280.46061837+360.98564736629*(K21-2451545)+0.000387933*L21^2-L21^3/38710000+input!$E$2,360)</f>
        <v>288.55983194941655</v>
      </c>
      <c r="N21" s="31">
        <f t="shared" si="5"/>
        <v>0.8098919223481289</v>
      </c>
      <c r="O21" s="25">
        <f t="shared" si="6"/>
        <v>25387.239202285389</v>
      </c>
      <c r="P21" s="32">
        <f t="shared" si="7"/>
        <v>1.7931627220413877</v>
      </c>
      <c r="Q21" s="33">
        <f t="shared" si="8"/>
        <v>1.7547142918034668</v>
      </c>
      <c r="R21" s="33">
        <f t="shared" si="9"/>
        <v>4.6728813907412512</v>
      </c>
      <c r="S21" s="33">
        <f t="shared" si="10"/>
        <v>3.4712510286661185</v>
      </c>
      <c r="T21" s="33">
        <f t="shared" si="11"/>
        <v>3.5981340256523793</v>
      </c>
      <c r="U21" s="33">
        <f t="shared" si="12"/>
        <v>-5.8745117528163835</v>
      </c>
      <c r="V21" s="22">
        <f t="shared" si="13"/>
        <v>-149.09064501936365</v>
      </c>
      <c r="W21" s="33">
        <f t="shared" si="14"/>
        <v>5.2117818358098766</v>
      </c>
      <c r="X21" s="25">
        <f t="shared" si="15"/>
        <v>298.61310293485008</v>
      </c>
      <c r="Y21" s="33">
        <f t="shared" si="16"/>
        <v>-4.0305300356139002E-2</v>
      </c>
      <c r="Z21" s="33">
        <f t="shared" si="17"/>
        <v>0.47850369877139659</v>
      </c>
      <c r="AA21" s="33">
        <f t="shared" si="18"/>
        <v>-0.87716051696379482</v>
      </c>
      <c r="AB21" s="33">
        <f t="shared" si="19"/>
        <v>-4.0294388466643863E-2</v>
      </c>
      <c r="AC21" s="33">
        <f t="shared" si="20"/>
        <v>-0.78876855946786439</v>
      </c>
      <c r="AD21" s="33">
        <f t="shared" si="21"/>
        <v>-0.3858475992630806</v>
      </c>
      <c r="AE21" s="33">
        <f t="shared" si="22"/>
        <v>0.92256253454327808</v>
      </c>
      <c r="AF21" s="25">
        <f t="shared" si="23"/>
        <v>-22.696370343485786</v>
      </c>
      <c r="AG21" s="33">
        <f t="shared" si="24"/>
        <v>20.08286322599405</v>
      </c>
      <c r="AH21" s="25">
        <f t="shared" si="25"/>
        <v>347.31688355950581</v>
      </c>
      <c r="AI21" s="32">
        <f t="shared" si="26"/>
        <v>0.93270118817944847</v>
      </c>
      <c r="AJ21" s="33">
        <f>ASIN(COS($A$2*input!$D$2)*COS($A$2*AF21)*COS($A$2*AH21)+SIN($A$2*input!$D$2)*SIN($A$2*AF21))/$A$2</f>
        <v>16.437271791592416</v>
      </c>
      <c r="AK21" s="32">
        <f>ASIN((0.9983271+0.0016764*COS($A$2*2*input!$D$2))*COS($A$2*AJ21)*SIN($A$2*AI21))/$A$2</f>
        <v>0.89282152565817074</v>
      </c>
      <c r="AL21" s="32">
        <f t="shared" si="27"/>
        <v>15.544450265934245</v>
      </c>
      <c r="AM21" s="25">
        <f t="shared" si="28"/>
        <v>23.825216318745333</v>
      </c>
      <c r="AN21" s="32">
        <f t="shared" si="29"/>
        <v>25.699135723252006</v>
      </c>
      <c r="AO21" s="32">
        <f t="shared" si="30"/>
        <v>87.088401403036755</v>
      </c>
      <c r="AP21" s="22">
        <f t="shared" si="31"/>
        <v>92.771889514336451</v>
      </c>
      <c r="AQ21" s="51">
        <f t="shared" si="32"/>
        <v>-0.21955873043578433</v>
      </c>
      <c r="AR21" s="51">
        <f>COS($A$2*AH21)*SIN($A$2*input!$D$2) - TAN($A$2*AF21)*COS($A$2*input!$D$2)</f>
        <v>1.0161884479840118</v>
      </c>
      <c r="AS21" s="51">
        <f t="shared" si="33"/>
        <v>347.80802553697742</v>
      </c>
    </row>
    <row r="22" spans="1:45">
      <c r="A22"/>
      <c r="B22"/>
      <c r="C22" s="17">
        <f t="shared" si="34"/>
        <v>5.8238888888888862</v>
      </c>
      <c r="D22" s="97" t="str">
        <f>caldat!$T$22</f>
        <v>2020  04-16    05:49:26</v>
      </c>
      <c r="E22" s="97"/>
      <c r="F22" s="97"/>
      <c r="G22" s="38">
        <f t="shared" si="0"/>
        <v>17.768745896981581</v>
      </c>
      <c r="H22" s="37">
        <f t="shared" si="1"/>
        <v>17.820394126533916</v>
      </c>
      <c r="I22" s="38">
        <f t="shared" si="2"/>
        <v>37.411678578629129</v>
      </c>
      <c r="J22" s="38">
        <f t="shared" si="3"/>
        <v>167.47326706743178</v>
      </c>
      <c r="K22" s="25">
        <f t="shared" si="35"/>
        <v>2458955.7426620019</v>
      </c>
      <c r="L22" s="49">
        <f t="shared" si="4"/>
        <v>0.20289507630395254</v>
      </c>
      <c r="M22" s="25">
        <f>MOD(280.46061837+360.98564736629*(K22-2451545)+0.000387933*L22^2-L22^3/38710000+input!$E$2,360)</f>
        <v>302.19794206693769</v>
      </c>
      <c r="N22" s="31">
        <f t="shared" si="5"/>
        <v>0.84777588371264301</v>
      </c>
      <c r="O22" s="25">
        <f t="shared" si="6"/>
        <v>22516.564527521161</v>
      </c>
      <c r="P22" s="32">
        <f t="shared" si="7"/>
        <v>2.0291821640227918</v>
      </c>
      <c r="Q22" s="33">
        <f t="shared" si="8"/>
        <v>1.7725191867022441</v>
      </c>
      <c r="R22" s="33">
        <f t="shared" si="9"/>
        <v>4.8931075945251772</v>
      </c>
      <c r="S22" s="33">
        <f t="shared" si="10"/>
        <v>3.7102395891171529</v>
      </c>
      <c r="T22" s="33">
        <f t="shared" si="11"/>
        <v>3.8237853028104145</v>
      </c>
      <c r="U22" s="33">
        <f t="shared" si="12"/>
        <v>-6.0759755999332015</v>
      </c>
      <c r="V22" s="22">
        <f t="shared" si="13"/>
        <v>-46.281146504135357</v>
      </c>
      <c r="W22" s="33">
        <f t="shared" si="14"/>
        <v>5.4358963616697471</v>
      </c>
      <c r="X22" s="25">
        <f t="shared" si="15"/>
        <v>311.45391939419625</v>
      </c>
      <c r="Y22" s="33">
        <f t="shared" si="16"/>
        <v>-5.6835073880983251E-2</v>
      </c>
      <c r="Z22" s="33">
        <f t="shared" si="17"/>
        <v>0.66094853500709227</v>
      </c>
      <c r="AA22" s="33">
        <f t="shared" si="18"/>
        <v>-0.74827821368154546</v>
      </c>
      <c r="AB22" s="33">
        <f t="shared" si="19"/>
        <v>-5.6804480470592431E-2</v>
      </c>
      <c r="AC22" s="33">
        <f t="shared" si="20"/>
        <v>-0.66395236558938964</v>
      </c>
      <c r="AD22" s="33">
        <f t="shared" si="21"/>
        <v>-0.34973459980424015</v>
      </c>
      <c r="AE22" s="33">
        <f t="shared" si="22"/>
        <v>0.9368488190203198</v>
      </c>
      <c r="AF22" s="25">
        <f t="shared" si="23"/>
        <v>-20.471082916794607</v>
      </c>
      <c r="AG22" s="33">
        <f t="shared" si="24"/>
        <v>20.991339904754597</v>
      </c>
      <c r="AH22" s="25">
        <f t="shared" si="25"/>
        <v>347.32784349561871</v>
      </c>
      <c r="AI22" s="32">
        <f t="shared" si="26"/>
        <v>0.92084665822454337</v>
      </c>
      <c r="AJ22" s="33">
        <f>ASIN(COS($A$2*input!$D$2)*COS($A$2*AF22)*COS($A$2*AH22)+SIN($A$2*input!$D$2)*SIN($A$2*AF22))/$A$2</f>
        <v>18.639574546451218</v>
      </c>
      <c r="AK22" s="32">
        <f>ASIN((0.9983271+0.0016764*COS($A$2*2*input!$D$2))*COS($A$2*AJ22)*SIN($A$2*AI22))/$A$2</f>
        <v>0.87082864946963789</v>
      </c>
      <c r="AL22" s="32">
        <f t="shared" si="27"/>
        <v>17.768745896981581</v>
      </c>
      <c r="AM22" s="25">
        <f t="shared" si="28"/>
        <v>24.845410392423219</v>
      </c>
      <c r="AN22" s="32">
        <f t="shared" si="29"/>
        <v>26.712150157786347</v>
      </c>
      <c r="AO22" s="32">
        <f t="shared" si="30"/>
        <v>75.282572159836604</v>
      </c>
      <c r="AP22" s="22">
        <f t="shared" si="31"/>
        <v>104.58206497037817</v>
      </c>
      <c r="AQ22" s="51">
        <f t="shared" si="32"/>
        <v>-0.21937210698799983</v>
      </c>
      <c r="AR22" s="51">
        <f>COS($A$2*AH22)*SIN($A$2*input!$D$2) - TAN($A$2*AF22)*COS($A$2*input!$D$2)</f>
        <v>0.98734331541168274</v>
      </c>
      <c r="AS22" s="51">
        <f t="shared" si="33"/>
        <v>347.47326706743178</v>
      </c>
    </row>
    <row r="23" spans="1:45">
      <c r="A23"/>
      <c r="B23"/>
      <c r="C23" s="17">
        <f t="shared" si="34"/>
        <v>6.6650833333333308</v>
      </c>
      <c r="D23" s="97" t="str">
        <f>caldat!$T$23</f>
        <v>2020  04-17    06:39:54,3</v>
      </c>
      <c r="E23" s="97"/>
      <c r="F23" s="97"/>
      <c r="G23" s="38">
        <f t="shared" si="0"/>
        <v>21.03817435532449</v>
      </c>
      <c r="H23" s="37">
        <f t="shared" si="1"/>
        <v>21.081481843393366</v>
      </c>
      <c r="I23" s="38">
        <f t="shared" si="2"/>
        <v>27.987834126895596</v>
      </c>
      <c r="J23" s="38">
        <f t="shared" si="3"/>
        <v>167.74162990189274</v>
      </c>
      <c r="K23" s="25">
        <f t="shared" si="35"/>
        <v>2458956.7777117686</v>
      </c>
      <c r="L23" s="49">
        <f t="shared" si="4"/>
        <v>0.20292341442213921</v>
      </c>
      <c r="M23" s="25">
        <f>MOD(280.46061837+360.98564736629*(K23-2451545)+0.000387933*L23^2-L23^3/38710000+input!$E$2,360)</f>
        <v>315.83605218445882</v>
      </c>
      <c r="N23" s="31">
        <f t="shared" si="5"/>
        <v>0.88565984507715712</v>
      </c>
      <c r="O23" s="25">
        <f t="shared" si="6"/>
        <v>18726.680776541627</v>
      </c>
      <c r="P23" s="32">
        <f t="shared" si="7"/>
        <v>2.2652016060049101</v>
      </c>
      <c r="Q23" s="33">
        <f t="shared" si="8"/>
        <v>1.7903240816010211</v>
      </c>
      <c r="R23" s="33">
        <f t="shared" si="9"/>
        <v>5.1133337983094611</v>
      </c>
      <c r="S23" s="33">
        <f t="shared" si="10"/>
        <v>3.9492281495689019</v>
      </c>
      <c r="T23" s="33">
        <f t="shared" si="11"/>
        <v>4.0445730120997494</v>
      </c>
      <c r="U23" s="33">
        <f t="shared" si="12"/>
        <v>-6.2774394470500203</v>
      </c>
      <c r="V23" s="22">
        <f t="shared" si="13"/>
        <v>55.983757257252584</v>
      </c>
      <c r="W23" s="33">
        <f t="shared" si="14"/>
        <v>5.6555544361701253</v>
      </c>
      <c r="X23" s="25">
        <f t="shared" si="15"/>
        <v>324.0393999990381</v>
      </c>
      <c r="Y23" s="33">
        <f t="shared" si="16"/>
        <v>-7.022757264061763E-2</v>
      </c>
      <c r="Z23" s="33">
        <f t="shared" si="17"/>
        <v>0.80742582294798571</v>
      </c>
      <c r="AA23" s="33">
        <f t="shared" si="18"/>
        <v>-0.58578129968999881</v>
      </c>
      <c r="AB23" s="33">
        <f t="shared" si="19"/>
        <v>-7.0169860839705889E-2</v>
      </c>
      <c r="AC23" s="33">
        <f t="shared" si="20"/>
        <v>-0.50954551718857599</v>
      </c>
      <c r="AD23" s="33">
        <f t="shared" si="21"/>
        <v>-0.29736661942759246</v>
      </c>
      <c r="AE23" s="33">
        <f t="shared" si="22"/>
        <v>0.95476337050088245</v>
      </c>
      <c r="AF23" s="25">
        <f t="shared" si="23"/>
        <v>-17.299504634060288</v>
      </c>
      <c r="AG23" s="33">
        <f t="shared" si="24"/>
        <v>21.849669219755633</v>
      </c>
      <c r="AH23" s="25">
        <f t="shared" si="25"/>
        <v>348.09101388812434</v>
      </c>
      <c r="AI23" s="32">
        <f t="shared" si="26"/>
        <v>0.91171460779557134</v>
      </c>
      <c r="AJ23" s="33">
        <f>ASIN(COS($A$2*input!$D$2)*COS($A$2*AF23)*COS($A$2*AH23)+SIN($A$2*input!$D$2)*SIN($A$2*AF23))/$A$2</f>
        <v>21.882533182470453</v>
      </c>
      <c r="AK23" s="32">
        <f>ASIN((0.9983271+0.0016764*COS($A$2*2*input!$D$2))*COS($A$2*AJ23)*SIN($A$2*AI23))/$A$2</f>
        <v>0.84435882714596378</v>
      </c>
      <c r="AL23" s="32">
        <f t="shared" si="27"/>
        <v>21.03817435532449</v>
      </c>
      <c r="AM23" s="25">
        <f t="shared" si="28"/>
        <v>25.865604466101104</v>
      </c>
      <c r="AN23" s="32">
        <f t="shared" si="29"/>
        <v>27.724580886790964</v>
      </c>
      <c r="AO23" s="32">
        <f t="shared" si="30"/>
        <v>63.755005934218723</v>
      </c>
      <c r="AP23" s="22">
        <f t="shared" si="31"/>
        <v>116.11940677648974</v>
      </c>
      <c r="AQ23" s="51">
        <f t="shared" si="32"/>
        <v>-0.20635764950764274</v>
      </c>
      <c r="AR23" s="51">
        <f>COS($A$2*AH23)*SIN($A$2*input!$D$2) - TAN($A$2*AF23)*COS($A$2*input!$D$2)</f>
        <v>0.94975653654467973</v>
      </c>
      <c r="AS23" s="51">
        <f t="shared" si="33"/>
        <v>347.74162990189274</v>
      </c>
    </row>
    <row r="24" spans="1:45">
      <c r="A24"/>
      <c r="B24"/>
      <c r="C24" s="17">
        <f t="shared" si="34"/>
        <v>7.5062777777777754</v>
      </c>
      <c r="D24" s="97" t="str">
        <f>caldat!$T$24</f>
        <v>2020  04-18    07:30:22,6</v>
      </c>
      <c r="E24" s="97"/>
      <c r="F24" s="97"/>
      <c r="G24" s="38">
        <f t="shared" si="0"/>
        <v>25.120807097483432</v>
      </c>
      <c r="H24" s="37">
        <f t="shared" si="1"/>
        <v>25.156510028613368</v>
      </c>
      <c r="I24" s="38">
        <f t="shared" si="2"/>
        <v>19.5840677554183</v>
      </c>
      <c r="J24" s="38">
        <f t="shared" si="3"/>
        <v>168.65599946964238</v>
      </c>
      <c r="K24" s="25">
        <f t="shared" si="35"/>
        <v>2458957.8127615354</v>
      </c>
      <c r="L24" s="49">
        <f t="shared" si="4"/>
        <v>0.20295175254032588</v>
      </c>
      <c r="M24" s="25">
        <f>MOD(280.46061837+360.98564736629*(K24-2451545)+0.000387933*L24^2-L24^3/38710000+input!$E$2,360)</f>
        <v>329.47416230197996</v>
      </c>
      <c r="N24" s="31">
        <f t="shared" si="5"/>
        <v>0.92354380644167122</v>
      </c>
      <c r="O24" s="25">
        <f t="shared" si="6"/>
        <v>14333.821380178199</v>
      </c>
      <c r="P24" s="32">
        <f t="shared" si="7"/>
        <v>2.5012210479866712</v>
      </c>
      <c r="Q24" s="33">
        <f t="shared" si="8"/>
        <v>1.8081289764997983</v>
      </c>
      <c r="R24" s="33">
        <f t="shared" si="9"/>
        <v>5.3335600020935656</v>
      </c>
      <c r="S24" s="33">
        <f t="shared" si="10"/>
        <v>4.1882167100206509</v>
      </c>
      <c r="T24" s="33">
        <f t="shared" si="11"/>
        <v>4.2619893286274797</v>
      </c>
      <c r="U24" s="33">
        <f t="shared" si="12"/>
        <v>-6.4789032941664804</v>
      </c>
      <c r="V24" s="22">
        <f t="shared" si="13"/>
        <v>154.34894356679112</v>
      </c>
      <c r="W24" s="33">
        <f t="shared" si="14"/>
        <v>5.8722892022479245</v>
      </c>
      <c r="X24" s="25">
        <f t="shared" si="15"/>
        <v>336.45738736905116</v>
      </c>
      <c r="Y24" s="33">
        <f t="shared" si="16"/>
        <v>-8.0084969148384991E-2</v>
      </c>
      <c r="Z24" s="33">
        <f t="shared" si="17"/>
        <v>0.91382495231993921</v>
      </c>
      <c r="AA24" s="33">
        <f t="shared" si="18"/>
        <v>-0.39815079297354261</v>
      </c>
      <c r="AB24" s="33">
        <f t="shared" si="19"/>
        <v>-7.9999391072681711E-2</v>
      </c>
      <c r="AC24" s="33">
        <f t="shared" si="20"/>
        <v>-0.3334849201710407</v>
      </c>
      <c r="AD24" s="33">
        <f t="shared" si="21"/>
        <v>-0.2317579869950015</v>
      </c>
      <c r="AE24" s="33">
        <f t="shared" si="22"/>
        <v>0.97277347592542052</v>
      </c>
      <c r="AF24" s="25">
        <f t="shared" si="23"/>
        <v>-13.40059391147272</v>
      </c>
      <c r="AG24" s="33">
        <f t="shared" si="24"/>
        <v>22.663420219541262</v>
      </c>
      <c r="AH24" s="25">
        <f t="shared" si="25"/>
        <v>349.52285900886102</v>
      </c>
      <c r="AI24" s="32">
        <f t="shared" si="26"/>
        <v>0.90526943056547093</v>
      </c>
      <c r="AJ24" s="33">
        <f>ASIN(COS($A$2*input!$D$2)*COS($A$2*AF24)*COS($A$2*AH24)+SIN($A$2*input!$D$2)*SIN($A$2*AF24))/$A$2</f>
        <v>25.933313713102081</v>
      </c>
      <c r="AK24" s="32">
        <f>ASIN((0.9983271+0.0016764*COS($A$2*2*input!$D$2))*COS($A$2*AJ24)*SIN($A$2*AI24))/$A$2</f>
        <v>0.81250661561864712</v>
      </c>
      <c r="AL24" s="32">
        <f t="shared" si="27"/>
        <v>25.120807097483432</v>
      </c>
      <c r="AM24" s="25">
        <f t="shared" si="28"/>
        <v>26.885798539779898</v>
      </c>
      <c r="AN24" s="32">
        <f t="shared" si="29"/>
        <v>28.736430965329941</v>
      </c>
      <c r="AO24" s="32">
        <f t="shared" si="30"/>
        <v>52.420946712576182</v>
      </c>
      <c r="AP24" s="22">
        <f t="shared" si="31"/>
        <v>127.46802908475632</v>
      </c>
      <c r="AQ24" s="51">
        <f t="shared" si="32"/>
        <v>-0.18184322673596912</v>
      </c>
      <c r="AR24" s="51">
        <f>COS($A$2*AH24)*SIN($A$2*input!$D$2) - TAN($A$2*AF24)*COS($A$2*input!$D$2)</f>
        <v>0.90641324395769807</v>
      </c>
      <c r="AS24" s="51">
        <f t="shared" si="33"/>
        <v>348.65599946964238</v>
      </c>
    </row>
    <row r="25" spans="1:45">
      <c r="A25"/>
      <c r="B25"/>
      <c r="C25" s="17">
        <f t="shared" si="34"/>
        <v>8.3474722222222209</v>
      </c>
      <c r="D25" s="97" t="str">
        <f>caldat!$T$25</f>
        <v>2020  04-19    08:20:50,9</v>
      </c>
      <c r="E25" s="97"/>
      <c r="F25" s="97"/>
      <c r="G25" s="38">
        <f t="shared" si="0"/>
        <v>29.781307304772028</v>
      </c>
      <c r="H25" s="37">
        <f t="shared" si="1"/>
        <v>29.810661574355816</v>
      </c>
      <c r="I25" s="38">
        <f t="shared" si="2"/>
        <v>12.438901393788605</v>
      </c>
      <c r="J25" s="38">
        <f t="shared" si="3"/>
        <v>170.20901106972894</v>
      </c>
      <c r="K25" s="25">
        <f t="shared" si="35"/>
        <v>2458958.8478113022</v>
      </c>
      <c r="L25" s="49">
        <f t="shared" si="4"/>
        <v>0.20298009065851252</v>
      </c>
      <c r="M25" s="25">
        <f>MOD(280.46061837+360.98564736629*(K25-2451545)+0.000387933*L25^2-L25^3/38710000+input!$E$2,360)</f>
        <v>343.1122724195011</v>
      </c>
      <c r="N25" s="31">
        <f t="shared" si="5"/>
        <v>0.96142776780612849</v>
      </c>
      <c r="O25" s="25">
        <f t="shared" si="6"/>
        <v>9598.9439372635934</v>
      </c>
      <c r="P25" s="32">
        <f t="shared" si="7"/>
        <v>2.7372404899684324</v>
      </c>
      <c r="Q25" s="33">
        <f t="shared" si="8"/>
        <v>1.8259338713985755</v>
      </c>
      <c r="R25" s="33">
        <f t="shared" si="9"/>
        <v>5.5537862058774916</v>
      </c>
      <c r="S25" s="33">
        <f t="shared" si="10"/>
        <v>4.4272052704720428</v>
      </c>
      <c r="T25" s="33">
        <f t="shared" si="11"/>
        <v>4.4773586971731643</v>
      </c>
      <c r="U25" s="33">
        <f t="shared" si="12"/>
        <v>-6.6803671412829404</v>
      </c>
      <c r="V25" s="22">
        <f t="shared" si="13"/>
        <v>246.29369025199117</v>
      </c>
      <c r="W25" s="33">
        <f t="shared" si="14"/>
        <v>6.0873658180438213</v>
      </c>
      <c r="X25" s="25">
        <f t="shared" si="15"/>
        <v>348.78036972611278</v>
      </c>
      <c r="Y25" s="33">
        <f t="shared" si="16"/>
        <v>-8.6124926696911477E-2</v>
      </c>
      <c r="Z25" s="33">
        <f t="shared" si="17"/>
        <v>0.97725292680168196</v>
      </c>
      <c r="AA25" s="33">
        <f t="shared" si="18"/>
        <v>-0.19384926028780528</v>
      </c>
      <c r="AB25" s="33">
        <f t="shared" si="19"/>
        <v>-8.6018494194080586E-2</v>
      </c>
      <c r="AC25" s="33">
        <f t="shared" si="20"/>
        <v>-0.14364419090959496</v>
      </c>
      <c r="AD25" s="33">
        <f t="shared" si="21"/>
        <v>-0.15602263770195079</v>
      </c>
      <c r="AE25" s="33">
        <f t="shared" si="22"/>
        <v>0.98775347963169724</v>
      </c>
      <c r="AF25" s="25">
        <f t="shared" si="23"/>
        <v>-8.9761106930225782</v>
      </c>
      <c r="AG25" s="33">
        <f t="shared" si="24"/>
        <v>23.442540063955473</v>
      </c>
      <c r="AH25" s="25">
        <f t="shared" si="25"/>
        <v>351.47417146016898</v>
      </c>
      <c r="AI25" s="32">
        <f t="shared" si="26"/>
        <v>0.90130623871691851</v>
      </c>
      <c r="AJ25" s="33">
        <f>ASIN(COS($A$2*input!$D$2)*COS($A$2*AF25)*COS($A$2*AH25)+SIN($A$2*input!$D$2)*SIN($A$2*AF25))/$A$2</f>
        <v>30.555919511408678</v>
      </c>
      <c r="AK25" s="32">
        <f>ASIN((0.9983271+0.0016764*COS($A$2*2*input!$D$2))*COS($A$2*AJ25)*SIN($A$2*AI25))/$A$2</f>
        <v>0.77461220663665198</v>
      </c>
      <c r="AL25" s="32">
        <f t="shared" si="27"/>
        <v>29.781307304772028</v>
      </c>
      <c r="AM25" s="25">
        <f t="shared" si="28"/>
        <v>27.905992613456874</v>
      </c>
      <c r="AN25" s="32">
        <f t="shared" si="29"/>
        <v>29.74770362063758</v>
      </c>
      <c r="AO25" s="32">
        <f t="shared" si="30"/>
        <v>41.211315249416472</v>
      </c>
      <c r="AP25" s="22">
        <f t="shared" si="31"/>
        <v>138.69634003762368</v>
      </c>
      <c r="AQ25" s="51">
        <f t="shared" si="32"/>
        <v>-0.14825523758446787</v>
      </c>
      <c r="AR25" s="51">
        <f>COS($A$2*AH25)*SIN($A$2*input!$D$2) - TAN($A$2*AF25)*COS($A$2*input!$D$2)</f>
        <v>0.85911182901621919</v>
      </c>
      <c r="AS25" s="51">
        <f t="shared" si="33"/>
        <v>350.20901106972894</v>
      </c>
    </row>
    <row r="26" spans="1:45">
      <c r="A26"/>
      <c r="B26"/>
      <c r="C26" s="17">
        <f t="shared" si="34"/>
        <v>9.1886666666666663</v>
      </c>
      <c r="D26" s="97" t="str">
        <f>caldat!$T$26</f>
        <v>2020  04-20    09:11:19,2</v>
      </c>
      <c r="E26" s="97"/>
      <c r="F26" s="97"/>
      <c r="G26" s="38">
        <f t="shared" si="0"/>
        <v>34.790404805310111</v>
      </c>
      <c r="H26" s="37">
        <f t="shared" si="1"/>
        <v>34.814639590779279</v>
      </c>
      <c r="I26" s="38">
        <f t="shared" si="2"/>
        <v>6.7655507860332307</v>
      </c>
      <c r="J26" s="38">
        <f t="shared" si="3"/>
        <v>172.34882882474722</v>
      </c>
      <c r="K26" s="25">
        <f t="shared" si="35"/>
        <v>2458959.8828610689</v>
      </c>
      <c r="L26" s="49">
        <f t="shared" si="4"/>
        <v>0.2030084287766992</v>
      </c>
      <c r="M26" s="25">
        <f>MOD(280.46061837+360.98564736629*(K26-2451545)+0.000387933*L26^2-L26^3/38710000+input!$E$2,360)</f>
        <v>356.75038253655657</v>
      </c>
      <c r="N26" s="31">
        <f t="shared" si="5"/>
        <v>0.99931172917064259</v>
      </c>
      <c r="O26" s="25">
        <f t="shared" si="6"/>
        <v>4721.9533780150196</v>
      </c>
      <c r="P26" s="32">
        <f t="shared" si="7"/>
        <v>2.9732599319501936</v>
      </c>
      <c r="Q26" s="33">
        <f t="shared" si="8"/>
        <v>1.8437387662973528</v>
      </c>
      <c r="R26" s="33">
        <f t="shared" si="9"/>
        <v>5.7740124096617755</v>
      </c>
      <c r="S26" s="33">
        <f t="shared" si="10"/>
        <v>4.6661938309234348</v>
      </c>
      <c r="T26" s="33">
        <f t="shared" si="11"/>
        <v>4.6917965372097203</v>
      </c>
      <c r="U26" s="33">
        <f t="shared" si="12"/>
        <v>-6.8818309884001163</v>
      </c>
      <c r="V26" s="22">
        <f t="shared" si="13"/>
        <v>329.94203944609262</v>
      </c>
      <c r="W26" s="33">
        <f t="shared" si="14"/>
        <v>1.8568142829851794E-2</v>
      </c>
      <c r="X26" s="25">
        <f t="shared" si="15"/>
        <v>1.0638762175466088</v>
      </c>
      <c r="Y26" s="33">
        <f t="shared" si="16"/>
        <v>-8.8168853151651252E-2</v>
      </c>
      <c r="Z26" s="33">
        <f t="shared" si="17"/>
        <v>0.99594393056442654</v>
      </c>
      <c r="AA26" s="33">
        <f t="shared" si="18"/>
        <v>1.8494954740497085E-2</v>
      </c>
      <c r="AB26" s="33">
        <f t="shared" si="19"/>
        <v>-8.8054663823261242E-2</v>
      </c>
      <c r="AC26" s="33">
        <f t="shared" si="20"/>
        <v>5.1991550859824417E-2</v>
      </c>
      <c r="AD26" s="33">
        <f t="shared" si="21"/>
        <v>-7.3434091613302319E-2</v>
      </c>
      <c r="AE26" s="33">
        <f t="shared" si="22"/>
        <v>0.99730007228964401</v>
      </c>
      <c r="AF26" s="25">
        <f t="shared" si="23"/>
        <v>-4.2112542317767216</v>
      </c>
      <c r="AG26" s="33">
        <f t="shared" si="24"/>
        <v>0.19922104354642195</v>
      </c>
      <c r="AH26" s="25">
        <f t="shared" si="25"/>
        <v>353.76206688336026</v>
      </c>
      <c r="AI26" s="32">
        <f t="shared" si="26"/>
        <v>0.89955756668391484</v>
      </c>
      <c r="AJ26" s="33">
        <f>ASIN(COS($A$2*input!$D$2)*COS($A$2*AF26)*COS($A$2*AH26)+SIN($A$2*input!$D$2)*SIN($A$2*AF26))/$A$2</f>
        <v>35.521107925440376</v>
      </c>
      <c r="AK26" s="32">
        <f>ASIN((0.9983271+0.0016764*COS($A$2*2*input!$D$2))*COS($A$2*AJ26)*SIN($A$2*AI26))/$A$2</f>
        <v>0.73070312013026317</v>
      </c>
      <c r="AL26" s="32">
        <f t="shared" si="27"/>
        <v>34.790404805310111</v>
      </c>
      <c r="AM26" s="25">
        <f t="shared" si="28"/>
        <v>28.926186687135669</v>
      </c>
      <c r="AN26" s="32">
        <f t="shared" si="29"/>
        <v>30.758402250406732</v>
      </c>
      <c r="AO26" s="32">
        <f t="shared" si="30"/>
        <v>30.082496557213126</v>
      </c>
      <c r="AP26" s="22">
        <f t="shared" si="31"/>
        <v>149.84721027910064</v>
      </c>
      <c r="AQ26" s="51">
        <f t="shared" si="32"/>
        <v>-0.10865751736986819</v>
      </c>
      <c r="AR26" s="51">
        <f>COS($A$2*AH26)*SIN($A$2*input!$D$2) - TAN($A$2*AF26)*COS($A$2*input!$D$2)</f>
        <v>0.80883919374499214</v>
      </c>
      <c r="AS26" s="51">
        <f t="shared" si="33"/>
        <v>352.34882882474722</v>
      </c>
    </row>
    <row r="27" spans="1:45">
      <c r="A27"/>
      <c r="B27"/>
      <c r="C27" s="17">
        <f t="shared" si="34"/>
        <v>10.029861111111112</v>
      </c>
      <c r="D27" s="97" t="str">
        <f>caldat!$T$27</f>
        <v>2020  04-21    10:01:47,5</v>
      </c>
      <c r="E27" s="97"/>
      <c r="F27" s="97"/>
      <c r="G27" s="38">
        <f t="shared" si="0"/>
        <v>39.929822682225598</v>
      </c>
      <c r="H27" s="37">
        <f t="shared" si="1"/>
        <v>39.949969039943042</v>
      </c>
      <c r="I27" s="38">
        <f t="shared" si="2"/>
        <v>2.7505602559291464</v>
      </c>
      <c r="J27" s="38">
        <f t="shared" si="3"/>
        <v>174.97820020143723</v>
      </c>
      <c r="K27" s="25">
        <f t="shared" si="35"/>
        <v>2458960.9179108357</v>
      </c>
      <c r="L27" s="49">
        <f t="shared" si="4"/>
        <v>0.20303676689488584</v>
      </c>
      <c r="M27" s="25">
        <f>MOD(280.46061837+360.98564736629*(K27-2451545)+0.000387933*L27^2-L27^3/38710000+input!$E$2,360)</f>
        <v>10.38849265454337</v>
      </c>
      <c r="N27" s="31">
        <f t="shared" si="5"/>
        <v>3.71956905351567E-2</v>
      </c>
      <c r="O27" s="25">
        <f t="shared" si="6"/>
        <v>-149.18316540324599</v>
      </c>
      <c r="P27" s="32">
        <f t="shared" si="7"/>
        <v>3.2092793739319547</v>
      </c>
      <c r="Q27" s="33">
        <f t="shared" si="8"/>
        <v>1.86154366119613</v>
      </c>
      <c r="R27" s="33">
        <f t="shared" si="9"/>
        <v>5.9942386134457015</v>
      </c>
      <c r="S27" s="33">
        <f t="shared" si="10"/>
        <v>4.9051823913748267</v>
      </c>
      <c r="T27" s="33">
        <f t="shared" si="11"/>
        <v>4.9062206518873186</v>
      </c>
      <c r="U27" s="33">
        <f t="shared" si="12"/>
        <v>-7.0832948355165763</v>
      </c>
      <c r="V27" s="22">
        <f t="shared" si="13"/>
        <v>403.77637725701015</v>
      </c>
      <c r="W27" s="33">
        <f t="shared" si="14"/>
        <v>0.23298415586510818</v>
      </c>
      <c r="X27" s="25">
        <f t="shared" si="15"/>
        <v>13.349008824488843</v>
      </c>
      <c r="Y27" s="33">
        <f t="shared" si="16"/>
        <v>-8.6148514627633815E-2</v>
      </c>
      <c r="Z27" s="33">
        <f t="shared" si="17"/>
        <v>0.96937344826121674</v>
      </c>
      <c r="AA27" s="33">
        <f t="shared" si="18"/>
        <v>0.23002585280533619</v>
      </c>
      <c r="AB27" s="33">
        <f t="shared" si="19"/>
        <v>-8.6041994673158706E-2</v>
      </c>
      <c r="AC27" s="33">
        <f t="shared" si="20"/>
        <v>0.2452707101440767</v>
      </c>
      <c r="AD27" s="33">
        <f t="shared" si="21"/>
        <v>1.2545778237255084E-2</v>
      </c>
      <c r="AE27" s="33">
        <f t="shared" si="22"/>
        <v>0.99992129862725776</v>
      </c>
      <c r="AF27" s="25">
        <f t="shared" si="23"/>
        <v>0.71883900167280923</v>
      </c>
      <c r="AG27" s="33">
        <f t="shared" si="24"/>
        <v>0.94659822292815932</v>
      </c>
      <c r="AH27" s="25">
        <f t="shared" si="25"/>
        <v>356.18951931062099</v>
      </c>
      <c r="AI27" s="32">
        <f t="shared" si="26"/>
        <v>0.89975858937060293</v>
      </c>
      <c r="AJ27" s="33">
        <f>ASIN(COS($A$2*input!$D$2)*COS($A$2*AF27)*COS($A$2*AH27)+SIN($A$2*input!$D$2)*SIN($A$2*AF27))/$A$2</f>
        <v>40.611512460996842</v>
      </c>
      <c r="AK27" s="32">
        <f>ASIN((0.9983271+0.0016764*COS($A$2*2*input!$D$2))*COS($A$2*AJ27)*SIN($A$2*AI27))/$A$2</f>
        <v>0.68168977877124626</v>
      </c>
      <c r="AL27" s="32">
        <f t="shared" si="27"/>
        <v>39.929822682225598</v>
      </c>
      <c r="AM27" s="25">
        <f t="shared" si="28"/>
        <v>29.946380760814463</v>
      </c>
      <c r="AN27" s="32">
        <f t="shared" si="29"/>
        <v>31.768530421019676</v>
      </c>
      <c r="AO27" s="32">
        <f t="shared" si="30"/>
        <v>19.04722466413978</v>
      </c>
      <c r="AP27" s="22">
        <f t="shared" si="31"/>
        <v>160.90698468533159</v>
      </c>
      <c r="AQ27" s="51">
        <f t="shared" si="32"/>
        <v>-6.6456419666741928E-2</v>
      </c>
      <c r="AR27" s="51">
        <f>COS($A$2*AH27)*SIN($A$2*input!$D$2) - TAN($A$2*AF27)*COS($A$2*input!$D$2)</f>
        <v>0.75628606506006846</v>
      </c>
      <c r="AS27" s="51">
        <f t="shared" si="33"/>
        <v>354.97820020143723</v>
      </c>
    </row>
    <row r="28" spans="1:45">
      <c r="A28"/>
      <c r="B28"/>
      <c r="C28" s="17">
        <f t="shared" si="34"/>
        <v>10.871055555555557</v>
      </c>
      <c r="D28" s="97" t="str">
        <f>caldat!$T$28</f>
        <v>2020  04-22    10:52:15,8</v>
      </c>
      <c r="E28" s="97"/>
      <c r="F28" s="97"/>
      <c r="G28" s="38">
        <f t="shared" si="0"/>
        <v>44.994684102038271</v>
      </c>
      <c r="H28" s="37">
        <f t="shared" si="1"/>
        <v>45.011565682502095</v>
      </c>
      <c r="I28" s="38">
        <f t="shared" si="2"/>
        <v>0.5464272687506877</v>
      </c>
      <c r="J28" s="38">
        <f t="shared" si="3"/>
        <v>177.94527766741521</v>
      </c>
      <c r="K28" s="25">
        <f t="shared" si="35"/>
        <v>2458961.9529606025</v>
      </c>
      <c r="L28" s="49">
        <f t="shared" si="4"/>
        <v>0.20306510501307251</v>
      </c>
      <c r="M28" s="25">
        <f>MOD(280.46061837+360.98564736629*(K28-2451545)+0.000387933*L28^2-L28^3/38710000+input!$E$2,360)</f>
        <v>24.026602771598846</v>
      </c>
      <c r="N28" s="31">
        <f t="shared" si="5"/>
        <v>7.5079651899670807E-2</v>
      </c>
      <c r="O28" s="25">
        <f t="shared" si="6"/>
        <v>-4902.310654552808</v>
      </c>
      <c r="P28" s="32">
        <f t="shared" si="7"/>
        <v>3.4452988159137159</v>
      </c>
      <c r="Q28" s="33">
        <f t="shared" si="8"/>
        <v>1.8793485560949073</v>
      </c>
      <c r="R28" s="33">
        <f t="shared" si="9"/>
        <v>6.2144648172299854</v>
      </c>
      <c r="S28" s="33">
        <f t="shared" si="10"/>
        <v>5.1441709518265748</v>
      </c>
      <c r="T28" s="33">
        <f t="shared" si="11"/>
        <v>5.1213844811802183</v>
      </c>
      <c r="U28" s="33">
        <f t="shared" si="12"/>
        <v>-7.2847586826333961</v>
      </c>
      <c r="V28" s="22">
        <f t="shared" si="13"/>
        <v>466.33446523514078</v>
      </c>
      <c r="W28" s="33">
        <f t="shared" si="14"/>
        <v>0.44797229294040714</v>
      </c>
      <c r="X28" s="25">
        <f t="shared" si="15"/>
        <v>25.66692172428349</v>
      </c>
      <c r="Y28" s="33">
        <f t="shared" si="16"/>
        <v>-8.012103647924626E-2</v>
      </c>
      <c r="Z28" s="33">
        <f t="shared" si="17"/>
        <v>0.89843579933359785</v>
      </c>
      <c r="AA28" s="33">
        <f t="shared" si="18"/>
        <v>0.43174930038887288</v>
      </c>
      <c r="AB28" s="33">
        <f t="shared" si="19"/>
        <v>-8.0035342752547325E-2</v>
      </c>
      <c r="AC28" s="33">
        <f t="shared" si="20"/>
        <v>0.42796298467117433</v>
      </c>
      <c r="AD28" s="33">
        <f t="shared" si="21"/>
        <v>9.8289359684246444E-2</v>
      </c>
      <c r="AE28" s="33">
        <f t="shared" si="22"/>
        <v>0.99515787781279252</v>
      </c>
      <c r="AF28" s="25">
        <f t="shared" si="23"/>
        <v>5.6406726987533453</v>
      </c>
      <c r="AG28" s="33">
        <f t="shared" si="24"/>
        <v>1.6980290722802365</v>
      </c>
      <c r="AH28" s="25">
        <f t="shared" si="25"/>
        <v>358.55616668739532</v>
      </c>
      <c r="AI28" s="32">
        <f t="shared" si="26"/>
        <v>0.901676056539917</v>
      </c>
      <c r="AJ28" s="33">
        <f>ASIN(COS($A$2*input!$D$2)*COS($A$2*AF28)*COS($A$2*AH28)+SIN($A$2*input!$D$2)*SIN($A$2*AF28))/$A$2</f>
        <v>45.624031698512169</v>
      </c>
      <c r="AK28" s="32">
        <f>ASIN((0.9983271+0.0016764*COS($A$2*2*input!$D$2))*COS($A$2*AJ28)*SIN($A$2*AI28))/$A$2</f>
        <v>0.62934759647389549</v>
      </c>
      <c r="AL28" s="32">
        <f t="shared" si="27"/>
        <v>44.994684102038271</v>
      </c>
      <c r="AM28" s="25">
        <f t="shared" si="28"/>
        <v>30.966574834495077</v>
      </c>
      <c r="AN28" s="32">
        <f t="shared" si="29"/>
        <v>32.778091865765759</v>
      </c>
      <c r="AO28" s="32">
        <f t="shared" si="30"/>
        <v>8.4577751009324356</v>
      </c>
      <c r="AP28" s="22">
        <f t="shared" si="31"/>
        <v>171.5215761818483</v>
      </c>
      <c r="AQ28" s="51">
        <f t="shared" si="32"/>
        <v>-2.5196978184278081E-2</v>
      </c>
      <c r="AR28" s="51">
        <f>COS($A$2*AH28)*SIN($A$2*input!$D$2) - TAN($A$2*AF28)*COS($A$2*input!$D$2)</f>
        <v>0.70231463600162192</v>
      </c>
      <c r="AS28" s="51">
        <f t="shared" si="33"/>
        <v>357.94527766741521</v>
      </c>
    </row>
    <row r="29" spans="1:45">
      <c r="A29"/>
      <c r="B29"/>
      <c r="C29" s="17">
        <f t="shared" si="34"/>
        <v>11.712250000000003</v>
      </c>
      <c r="D29" s="97" t="str">
        <f>caldat!$T$29</f>
        <v>2020  04-23    11:42:44,1</v>
      </c>
      <c r="E29" s="97"/>
      <c r="F29" s="97"/>
      <c r="G29" s="38">
        <f t="shared" si="0"/>
        <v>49.793829503917856</v>
      </c>
      <c r="H29" s="37">
        <f t="shared" si="1"/>
        <v>49.808103589306263</v>
      </c>
      <c r="I29" s="38">
        <f t="shared" si="2"/>
        <v>0.26230156871200339</v>
      </c>
      <c r="J29" s="38">
        <f t="shared" si="3"/>
        <v>181.02758744084286</v>
      </c>
      <c r="K29" s="25">
        <f t="shared" si="35"/>
        <v>2458962.9880103692</v>
      </c>
      <c r="L29" s="49">
        <f t="shared" si="4"/>
        <v>0.20309344313125918</v>
      </c>
      <c r="M29" s="25">
        <f>MOD(280.46061837+360.98564736629*(K29-2451545)+0.000387933*L29^2-L29^3/38710000+input!$E$2,360)</f>
        <v>37.664712889119983</v>
      </c>
      <c r="N29" s="31">
        <f t="shared" si="5"/>
        <v>0.11296361326418491</v>
      </c>
      <c r="O29" s="25">
        <f t="shared" si="6"/>
        <v>-9443.7520780997675</v>
      </c>
      <c r="P29" s="32">
        <f t="shared" si="7"/>
        <v>3.6813182578954775</v>
      </c>
      <c r="Q29" s="33">
        <f t="shared" si="8"/>
        <v>1.8971534509937067</v>
      </c>
      <c r="R29" s="33">
        <f t="shared" si="9"/>
        <v>0.15150571383450373</v>
      </c>
      <c r="S29" s="33">
        <f t="shared" si="10"/>
        <v>5.3831595122779667</v>
      </c>
      <c r="T29" s="33">
        <f t="shared" si="11"/>
        <v>5.33791413808569</v>
      </c>
      <c r="U29" s="33">
        <f t="shared" si="12"/>
        <v>5.0801480846089593</v>
      </c>
      <c r="V29" s="22">
        <f t="shared" si="13"/>
        <v>515.97109399174383</v>
      </c>
      <c r="W29" s="33">
        <f t="shared" si="14"/>
        <v>0.66398671302274981</v>
      </c>
      <c r="X29" s="25">
        <f t="shared" si="15"/>
        <v>38.043636308967741</v>
      </c>
      <c r="Y29" s="33">
        <f t="shared" si="16"/>
        <v>-7.0285248685428653E-2</v>
      </c>
      <c r="Z29" s="33">
        <f t="shared" si="17"/>
        <v>0.78559720545942424</v>
      </c>
      <c r="AA29" s="33">
        <f t="shared" si="18"/>
        <v>0.61473989932498341</v>
      </c>
      <c r="AB29" s="33">
        <f t="shared" si="19"/>
        <v>-7.0227394599630968E-2</v>
      </c>
      <c r="AC29" s="33">
        <f t="shared" si="20"/>
        <v>0.59195595681052182</v>
      </c>
      <c r="AD29" s="33">
        <f t="shared" si="21"/>
        <v>0.18006991967256131</v>
      </c>
      <c r="AE29" s="33">
        <f t="shared" si="22"/>
        <v>0.98365381310149824</v>
      </c>
      <c r="AF29" s="25">
        <f t="shared" si="23"/>
        <v>10.373832453830568</v>
      </c>
      <c r="AG29" s="33">
        <f t="shared" si="24"/>
        <v>2.4665612266914265</v>
      </c>
      <c r="AH29" s="25">
        <f t="shared" si="25"/>
        <v>0.66629448874858355</v>
      </c>
      <c r="AI29" s="32">
        <f t="shared" si="26"/>
        <v>0.90512009547062322</v>
      </c>
      <c r="AJ29" s="33">
        <f>ASIN(COS($A$2*input!$D$2)*COS($A$2*AF29)*COS($A$2*AH29)+SIN($A$2*input!$D$2)*SIN($A$2*AF29))/$A$2</f>
        <v>50.369991853934287</v>
      </c>
      <c r="AK29" s="32">
        <f>ASIN((0.9983271+0.0016764*COS($A$2*2*input!$D$2))*COS($A$2*AJ29)*SIN($A$2*AI29))/$A$2</f>
        <v>0.57616235001643445</v>
      </c>
      <c r="AL29" s="32">
        <f t="shared" si="27"/>
        <v>49.793829503917856</v>
      </c>
      <c r="AM29" s="25">
        <f t="shared" si="28"/>
        <v>31.986768908175691</v>
      </c>
      <c r="AN29" s="32">
        <f t="shared" si="29"/>
        <v>33.787090483009621</v>
      </c>
      <c r="AO29" s="32">
        <f t="shared" si="30"/>
        <v>5.8570848853933608</v>
      </c>
      <c r="AP29" s="22">
        <f t="shared" si="31"/>
        <v>174.1285804427049</v>
      </c>
      <c r="AQ29" s="51">
        <f t="shared" si="32"/>
        <v>1.1628770510786757E-2</v>
      </c>
      <c r="AR29" s="51">
        <f>COS($A$2*AH29)*SIN($A$2*input!$D$2) - TAN($A$2*AF29)*COS($A$2*input!$D$2)</f>
        <v>0.6483224740580994</v>
      </c>
      <c r="AS29" s="51">
        <f t="shared" si="33"/>
        <v>1.0275874408428649</v>
      </c>
    </row>
    <row r="30" spans="1:45">
      <c r="A30"/>
      <c r="B30"/>
      <c r="C30" s="17">
        <f t="shared" si="34"/>
        <v>12.553444444444448</v>
      </c>
      <c r="D30" s="97" t="str">
        <f>caldat!$T$30</f>
        <v>2020  04-24    12:33:12,4</v>
      </c>
      <c r="E30" s="97"/>
      <c r="F30" s="97"/>
      <c r="G30" s="38">
        <f t="shared" si="0"/>
        <v>54.147266394847456</v>
      </c>
      <c r="H30" s="37">
        <f t="shared" si="1"/>
        <v>54.159472650360456</v>
      </c>
      <c r="I30" s="38">
        <f t="shared" si="2"/>
        <v>1.9550600958626208</v>
      </c>
      <c r="J30" s="38">
        <f t="shared" si="3"/>
        <v>183.91519526438947</v>
      </c>
      <c r="K30" s="25">
        <f t="shared" si="35"/>
        <v>2458964.023060136</v>
      </c>
      <c r="L30" s="49">
        <f t="shared" si="4"/>
        <v>0.20312178124944583</v>
      </c>
      <c r="M30" s="25">
        <f>MOD(280.46061837+360.98564736629*(K30-2451545)+0.000387933*L30^2-L30^3/38710000+input!$E$2,360)</f>
        <v>51.30282300664112</v>
      </c>
      <c r="N30" s="31">
        <f t="shared" si="5"/>
        <v>0.15084757462864218</v>
      </c>
      <c r="O30" s="25">
        <f t="shared" si="6"/>
        <v>-13682.220624924668</v>
      </c>
      <c r="P30" s="32">
        <f t="shared" si="7"/>
        <v>3.9173376998772387</v>
      </c>
      <c r="Q30" s="33">
        <f t="shared" si="8"/>
        <v>1.9149583458924615</v>
      </c>
      <c r="R30" s="33">
        <f t="shared" si="9"/>
        <v>0.37173191761860858</v>
      </c>
      <c r="S30" s="33">
        <f t="shared" si="10"/>
        <v>5.6221480727293587</v>
      </c>
      <c r="T30" s="33">
        <f t="shared" si="11"/>
        <v>5.5563478628611804</v>
      </c>
      <c r="U30" s="33">
        <f t="shared" si="12"/>
        <v>4.8786842374921413</v>
      </c>
      <c r="V30" s="22">
        <f t="shared" si="13"/>
        <v>550.75018452830523</v>
      </c>
      <c r="W30" s="33">
        <f t="shared" si="14"/>
        <v>0.88146998706113533</v>
      </c>
      <c r="X30" s="25">
        <f t="shared" si="15"/>
        <v>50.504510026054334</v>
      </c>
      <c r="Y30" s="33">
        <f t="shared" si="16"/>
        <v>-5.699454367198957E-2</v>
      </c>
      <c r="Z30" s="33">
        <f t="shared" si="17"/>
        <v>0.63498474703621199</v>
      </c>
      <c r="AA30" s="33">
        <f t="shared" si="18"/>
        <v>0.77042164353022735</v>
      </c>
      <c r="AB30" s="33">
        <f t="shared" si="19"/>
        <v>-5.6963692046259423E-2</v>
      </c>
      <c r="AC30" s="33">
        <f t="shared" si="20"/>
        <v>0.72951857208973436</v>
      </c>
      <c r="AD30" s="33">
        <f t="shared" si="21"/>
        <v>0.25415944603243212</v>
      </c>
      <c r="AE30" s="33">
        <f t="shared" si="22"/>
        <v>0.96716233176881283</v>
      </c>
      <c r="AF30" s="25">
        <f t="shared" si="23"/>
        <v>14.723784098759474</v>
      </c>
      <c r="AG30" s="33">
        <f t="shared" si="24"/>
        <v>3.2642108225298481</v>
      </c>
      <c r="AH30" s="25">
        <f t="shared" si="25"/>
        <v>2.3396606686933978</v>
      </c>
      <c r="AI30" s="32">
        <f t="shared" si="26"/>
        <v>0.90995652157252438</v>
      </c>
      <c r="AJ30" s="33">
        <f>ASIN(COS($A$2*input!$D$2)*COS($A$2*AF30)*COS($A$2*AH30)+SIN($A$2*input!$D$2)*SIN($A$2*AF30))/$A$2</f>
        <v>54.672401224924627</v>
      </c>
      <c r="AK30" s="32">
        <f>ASIN((0.9983271+0.0016764*COS($A$2*2*input!$D$2))*COS($A$2*AJ30)*SIN($A$2*AI30))/$A$2</f>
        <v>0.52513483007717121</v>
      </c>
      <c r="AL30" s="32">
        <f t="shared" si="27"/>
        <v>54.147266394847456</v>
      </c>
      <c r="AM30" s="25">
        <f t="shared" si="28"/>
        <v>33.006962981859033</v>
      </c>
      <c r="AN30" s="32">
        <f t="shared" si="29"/>
        <v>34.795530334343255</v>
      </c>
      <c r="AO30" s="32">
        <f t="shared" si="30"/>
        <v>16.036434460019645</v>
      </c>
      <c r="AP30" s="22">
        <f t="shared" si="31"/>
        <v>163.92473804786167</v>
      </c>
      <c r="AQ30" s="51">
        <f t="shared" si="32"/>
        <v>4.0823434467765131E-2</v>
      </c>
      <c r="AR30" s="51">
        <f>COS($A$2*AH30)*SIN($A$2*input!$D$2) - TAN($A$2*AF30)*COS($A$2*input!$D$2)</f>
        <v>0.59648845397970418</v>
      </c>
      <c r="AS30" s="51">
        <f t="shared" si="33"/>
        <v>3.9151952643894674</v>
      </c>
    </row>
    <row r="31" spans="1:45">
      <c r="A31"/>
      <c r="B31"/>
      <c r="C31" s="17">
        <f t="shared" si="34"/>
        <v>13.394638888888894</v>
      </c>
      <c r="D31" s="97" t="str">
        <f>caldat!$T$31</f>
        <v>2020  04-25    13:23:40,7</v>
      </c>
      <c r="E31" s="97"/>
      <c r="F31" s="97"/>
      <c r="G31" s="38">
        <f t="shared" si="0"/>
        <v>57.879317829359664</v>
      </c>
      <c r="H31" s="37">
        <f t="shared" si="1"/>
        <v>57.889922943576622</v>
      </c>
      <c r="I31" s="38">
        <f t="shared" si="2"/>
        <v>5.6219782320242491</v>
      </c>
      <c r="J31" s="38">
        <f t="shared" si="3"/>
        <v>186.20934776934183</v>
      </c>
      <c r="K31" s="25">
        <f t="shared" si="35"/>
        <v>2458965.0581099028</v>
      </c>
      <c r="L31" s="49">
        <f t="shared" si="4"/>
        <v>0.2031501193676325</v>
      </c>
      <c r="M31" s="25">
        <f>MOD(280.46061837+360.98564736629*(K31-2451545)+0.000387933*L31^2-L31^3/38710000+input!$E$2,360)</f>
        <v>64.940933124162257</v>
      </c>
      <c r="N31" s="31">
        <f t="shared" si="5"/>
        <v>0.18873153599321313</v>
      </c>
      <c r="O31" s="25">
        <f t="shared" si="6"/>
        <v>-17514.100317320514</v>
      </c>
      <c r="P31" s="32">
        <f t="shared" si="7"/>
        <v>4.1533571418589998</v>
      </c>
      <c r="Q31" s="33">
        <f t="shared" si="8"/>
        <v>1.9327632407912387</v>
      </c>
      <c r="R31" s="33">
        <f t="shared" si="9"/>
        <v>0.59195812140271342</v>
      </c>
      <c r="S31" s="33">
        <f t="shared" si="10"/>
        <v>5.8611366331811077</v>
      </c>
      <c r="T31" s="33">
        <f t="shared" si="11"/>
        <v>5.7771859417131353</v>
      </c>
      <c r="U31" s="33">
        <f t="shared" si="12"/>
        <v>4.6772203903756804</v>
      </c>
      <c r="V31" s="22">
        <f t="shared" si="13"/>
        <v>568.50456440881783</v>
      </c>
      <c r="W31" s="33">
        <f t="shared" si="14"/>
        <v>1.1009244594923735</v>
      </c>
      <c r="X31" s="25">
        <f t="shared" si="15"/>
        <v>63.078325091634362</v>
      </c>
      <c r="Y31" s="33">
        <f t="shared" si="16"/>
        <v>-4.0762177779224675E-2</v>
      </c>
      <c r="Z31" s="33">
        <f t="shared" si="17"/>
        <v>0.45239594183551518</v>
      </c>
      <c r="AA31" s="33">
        <f t="shared" si="18"/>
        <v>0.89088566983915529</v>
      </c>
      <c r="AB31" s="33">
        <f t="shared" si="19"/>
        <v>-4.0750890615994885E-2</v>
      </c>
      <c r="AC31" s="33">
        <f t="shared" si="20"/>
        <v>0.83359596034797712</v>
      </c>
      <c r="AD31" s="33">
        <f t="shared" si="21"/>
        <v>0.31694745101087485</v>
      </c>
      <c r="AE31" s="33">
        <f t="shared" si="22"/>
        <v>0.94844309966265716</v>
      </c>
      <c r="AF31" s="25">
        <f t="shared" si="23"/>
        <v>18.47841973852244</v>
      </c>
      <c r="AG31" s="33">
        <f t="shared" si="24"/>
        <v>4.1007423208264129</v>
      </c>
      <c r="AH31" s="25">
        <f t="shared" si="25"/>
        <v>3.4297983117660635</v>
      </c>
      <c r="AI31" s="32">
        <f t="shared" si="26"/>
        <v>0.91612338033858287</v>
      </c>
      <c r="AJ31" s="33">
        <f>ASIN(COS($A$2*input!$D$2)*COS($A$2*AF31)*COS($A$2*AH31)+SIN($A$2*input!$D$2)*SIN($A$2*AF31))/$A$2</f>
        <v>58.358953712200012</v>
      </c>
      <c r="AK31" s="32">
        <f>ASIN((0.9983271+0.0016764*COS($A$2*2*input!$D$2))*COS($A$2*AJ31)*SIN($A$2*AI31))/$A$2</f>
        <v>0.47963588284034681</v>
      </c>
      <c r="AL31" s="32">
        <f t="shared" si="27"/>
        <v>57.879317829359664</v>
      </c>
      <c r="AM31" s="25">
        <f t="shared" si="28"/>
        <v>34.027157055540556</v>
      </c>
      <c r="AN31" s="32">
        <f t="shared" si="29"/>
        <v>35.803415642687433</v>
      </c>
      <c r="AO31" s="32">
        <f t="shared" si="30"/>
        <v>27.367075508151814</v>
      </c>
      <c r="AP31" s="22">
        <f t="shared" si="31"/>
        <v>152.56827519328419</v>
      </c>
      <c r="AQ31" s="51">
        <f t="shared" si="32"/>
        <v>5.9825528755843453E-2</v>
      </c>
      <c r="AR31" s="51">
        <f>COS($A$2*AH31)*SIN($A$2*input!$D$2) - TAN($A$2*AF31)*COS($A$2*input!$D$2)</f>
        <v>0.54986779053181123</v>
      </c>
      <c r="AS31" s="51">
        <f t="shared" si="33"/>
        <v>6.2093477693418322</v>
      </c>
    </row>
    <row r="32" spans="1:45">
      <c r="A32"/>
      <c r="B32"/>
      <c r="C32" s="17">
        <f t="shared" si="34"/>
        <v>14.235833333333339</v>
      </c>
      <c r="D32" s="97" t="str">
        <f>caldat!$T$32</f>
        <v>2020  04-26    14:14:09</v>
      </c>
      <c r="E32" s="97"/>
      <c r="F32" s="97"/>
      <c r="G32" s="38">
        <f t="shared" si="0"/>
        <v>60.807092966567538</v>
      </c>
      <c r="H32" s="37">
        <f t="shared" si="1"/>
        <v>60.816530441028974</v>
      </c>
      <c r="I32" s="38">
        <f t="shared" si="2"/>
        <v>11.195645973024437</v>
      </c>
      <c r="J32" s="38">
        <f t="shared" si="3"/>
        <v>187.4706347786763</v>
      </c>
      <c r="K32" s="25">
        <f t="shared" si="35"/>
        <v>2458966.0931596695</v>
      </c>
      <c r="L32" s="49">
        <f t="shared" si="4"/>
        <v>0.20317845748581914</v>
      </c>
      <c r="M32" s="25">
        <f>MOD(280.46061837+360.98564736629*(K32-2451545)+0.000387933*L32^2-L32^3/38710000+input!$E$2,360)</f>
        <v>78.579043241683394</v>
      </c>
      <c r="N32" s="31">
        <f t="shared" si="5"/>
        <v>0.22661549735767039</v>
      </c>
      <c r="O32" s="25">
        <f t="shared" si="6"/>
        <v>-20810.247534866063</v>
      </c>
      <c r="P32" s="32">
        <f t="shared" si="7"/>
        <v>4.389376583840761</v>
      </c>
      <c r="Q32" s="33">
        <f t="shared" si="8"/>
        <v>1.950568135690016</v>
      </c>
      <c r="R32" s="33">
        <f t="shared" si="9"/>
        <v>0.81218432518663963</v>
      </c>
      <c r="S32" s="33">
        <f t="shared" si="10"/>
        <v>6.1001251936324996</v>
      </c>
      <c r="T32" s="33">
        <f t="shared" si="11"/>
        <v>6.0009551572471072</v>
      </c>
      <c r="U32" s="33">
        <f t="shared" si="12"/>
        <v>4.4757565432592203</v>
      </c>
      <c r="V32" s="22">
        <f t="shared" si="13"/>
        <v>567.06435098531165</v>
      </c>
      <c r="W32" s="33">
        <f t="shared" si="14"/>
        <v>1.3229762362551183</v>
      </c>
      <c r="X32" s="25">
        <f t="shared" si="15"/>
        <v>75.800954733520769</v>
      </c>
      <c r="Y32" s="33">
        <f t="shared" si="16"/>
        <v>-2.2256454982608642E-2</v>
      </c>
      <c r="Z32" s="33">
        <f t="shared" si="17"/>
        <v>0.2452304817688031</v>
      </c>
      <c r="AA32" s="33">
        <f t="shared" si="18"/>
        <v>0.96920933900170247</v>
      </c>
      <c r="AB32" s="33">
        <f t="shared" si="19"/>
        <v>-2.225461757307292E-2</v>
      </c>
      <c r="AC32" s="33">
        <f t="shared" si="20"/>
        <v>0.8981013407353251</v>
      </c>
      <c r="AD32" s="33">
        <f t="shared" si="21"/>
        <v>0.36506984616762334</v>
      </c>
      <c r="AE32" s="33">
        <f t="shared" si="22"/>
        <v>0.93098013266618518</v>
      </c>
      <c r="AF32" s="25">
        <f t="shared" si="23"/>
        <v>21.411881218526833</v>
      </c>
      <c r="AG32" s="33">
        <f t="shared" si="24"/>
        <v>4.9818293172778425</v>
      </c>
      <c r="AH32" s="25">
        <f t="shared" si="25"/>
        <v>3.8516034825157561</v>
      </c>
      <c r="AI32" s="32">
        <f t="shared" si="26"/>
        <v>0.92363854854451655</v>
      </c>
      <c r="AJ32" s="33">
        <f>ASIN(COS($A$2*input!$D$2)*COS($A$2*AF32)*COS($A$2*AH32)+SIN($A$2*input!$D$2)*SIN($A$2*AF32))/$A$2</f>
        <v>61.250458954590307</v>
      </c>
      <c r="AK32" s="32">
        <f>ASIN((0.9983271+0.0016764*COS($A$2*2*input!$D$2))*COS($A$2*AJ32)*SIN($A$2*AI32))/$A$2</f>
        <v>0.44336598802276933</v>
      </c>
      <c r="AL32" s="32">
        <f t="shared" si="27"/>
        <v>60.807092966567538</v>
      </c>
      <c r="AM32" s="25">
        <f t="shared" si="28"/>
        <v>35.04735112922026</v>
      </c>
      <c r="AN32" s="32">
        <f t="shared" si="29"/>
        <v>36.810750790387672</v>
      </c>
      <c r="AO32" s="32">
        <f t="shared" si="30"/>
        <v>39.007730123258568</v>
      </c>
      <c r="AP32" s="22">
        <f t="shared" si="31"/>
        <v>140.90369525957448</v>
      </c>
      <c r="AQ32" s="51">
        <f t="shared" si="32"/>
        <v>6.7172543965079365E-2</v>
      </c>
      <c r="AR32" s="51">
        <f>COS($A$2*AH32)*SIN($A$2*input!$D$2) - TAN($A$2*AF32)*COS($A$2*input!$D$2)</f>
        <v>0.51225474912589908</v>
      </c>
      <c r="AS32" s="51">
        <f t="shared" si="33"/>
        <v>7.470634778676299</v>
      </c>
    </row>
    <row r="33" spans="1:45">
      <c r="A33"/>
      <c r="B33"/>
      <c r="C33" s="17">
        <f t="shared" si="34"/>
        <v>15.077027777777785</v>
      </c>
      <c r="D33" s="48" t="str">
        <f>caldat!$T$33</f>
        <v>2020  04-27    15:04:37,3</v>
      </c>
      <c r="E33"/>
      <c r="F33"/>
      <c r="G33" s="38">
        <f t="shared" si="0"/>
        <v>62.72979603903358</v>
      </c>
      <c r="H33" s="37">
        <f t="shared" si="1"/>
        <v>62.738502259568996</v>
      </c>
      <c r="I33" s="38">
        <f t="shared" si="2"/>
        <v>18.540644116339145</v>
      </c>
      <c r="J33" s="38">
        <f t="shared" si="3"/>
        <v>187.36258673810022</v>
      </c>
      <c r="K33" s="25">
        <f t="shared" si="35"/>
        <v>2458967.1282094363</v>
      </c>
      <c r="L33" s="49">
        <f t="shared" si="4"/>
        <v>0.20320679560400581</v>
      </c>
      <c r="M33" s="25">
        <f>MOD(280.46061837+360.98564736629*(K33-2451545)+0.000387933*L33^2-L33^3/38710000+input!$E$2,360)</f>
        <v>92.217153358738869</v>
      </c>
      <c r="N33" s="31">
        <f t="shared" si="5"/>
        <v>0.2644994587221845</v>
      </c>
      <c r="O33" s="25">
        <f t="shared" si="6"/>
        <v>-23406.618353578324</v>
      </c>
      <c r="P33" s="32">
        <f t="shared" si="7"/>
        <v>4.6253960258225222</v>
      </c>
      <c r="Q33" s="33">
        <f t="shared" si="8"/>
        <v>1.9683730305887932</v>
      </c>
      <c r="R33" s="33">
        <f t="shared" si="9"/>
        <v>1.0324105289709231</v>
      </c>
      <c r="S33" s="33">
        <f t="shared" si="10"/>
        <v>5.5928446904305082E-2</v>
      </c>
      <c r="T33" s="33">
        <f t="shared" si="11"/>
        <v>-5.490881473969797E-2</v>
      </c>
      <c r="U33" s="33">
        <f t="shared" si="12"/>
        <v>-2.0088926110375414</v>
      </c>
      <c r="V33" s="22">
        <f t="shared" si="13"/>
        <v>544.61791700663423</v>
      </c>
      <c r="W33" s="33">
        <f t="shared" si="14"/>
        <v>1.5484206247369399</v>
      </c>
      <c r="X33" s="25">
        <f t="shared" si="15"/>
        <v>88.71796670843689</v>
      </c>
      <c r="Y33" s="33">
        <f t="shared" si="16"/>
        <v>-2.2872656927148561E-3</v>
      </c>
      <c r="Z33" s="33">
        <f t="shared" si="17"/>
        <v>2.2373776431345149E-2</v>
      </c>
      <c r="AA33" s="33">
        <f t="shared" si="18"/>
        <v>0.99974705928698504</v>
      </c>
      <c r="AB33" s="33">
        <f t="shared" si="19"/>
        <v>-2.2872636983781443E-3</v>
      </c>
      <c r="AC33" s="33">
        <f t="shared" si="20"/>
        <v>0.91817799683980472</v>
      </c>
      <c r="AD33" s="33">
        <f t="shared" si="21"/>
        <v>0.39553581411478261</v>
      </c>
      <c r="AE33" s="33">
        <f t="shared" si="22"/>
        <v>0.91845055378749496</v>
      </c>
      <c r="AF33" s="25">
        <f t="shared" si="23"/>
        <v>23.29939560333489</v>
      </c>
      <c r="AG33" s="33">
        <f t="shared" si="24"/>
        <v>5.9069411138329704</v>
      </c>
      <c r="AH33" s="25">
        <f t="shared" si="25"/>
        <v>3.6130366512443146</v>
      </c>
      <c r="AI33" s="32">
        <f t="shared" si="26"/>
        <v>0.93257629065495018</v>
      </c>
      <c r="AJ33" s="33">
        <f>ASIN(COS($A$2*input!$D$2)*COS($A$2*AF33)*COS($A$2*AH33)+SIN($A$2*input!$D$2)*SIN($A$2*AF33))/$A$2</f>
        <v>63.1501557003606</v>
      </c>
      <c r="AK33" s="32">
        <f>ASIN((0.9983271+0.0016764*COS($A$2*2*input!$D$2))*COS($A$2*AJ33)*SIN($A$2*AI33))/$A$2</f>
        <v>0.42035966132702168</v>
      </c>
      <c r="AL33" s="32">
        <f t="shared" si="27"/>
        <v>62.72979603903358</v>
      </c>
      <c r="AM33" s="25">
        <f t="shared" si="28"/>
        <v>36.067545202904512</v>
      </c>
      <c r="AN33" s="32">
        <f t="shared" si="29"/>
        <v>37.817540317272091</v>
      </c>
      <c r="AO33" s="32">
        <f t="shared" si="30"/>
        <v>50.900548188329886</v>
      </c>
      <c r="AP33" s="22">
        <f t="shared" si="31"/>
        <v>128.99017498348599</v>
      </c>
      <c r="AQ33" s="51">
        <f t="shared" si="32"/>
        <v>6.3017601406246959E-2</v>
      </c>
      <c r="AR33" s="51">
        <f>COS($A$2*AH33)*SIN($A$2*input!$D$2) - TAN($A$2*AF33)*COS($A$2*input!$D$2)</f>
        <v>0.48770182362637793</v>
      </c>
      <c r="AS33" s="51">
        <f t="shared" si="33"/>
        <v>7.3625867381002195</v>
      </c>
    </row>
    <row r="34" spans="1:45">
      <c r="A34"/>
      <c r="B34"/>
      <c r="C34" s="17">
        <f t="shared" si="34"/>
        <v>15.91822222222223</v>
      </c>
      <c r="D34" s="48" t="str">
        <f>caldat!$T$34</f>
        <v>2020  04-28    15:55:05,6</v>
      </c>
      <c r="E34"/>
      <c r="F34"/>
      <c r="G34" s="38">
        <f t="shared" ref="G34:G63" si="36">AL34</f>
        <v>63.436092171204756</v>
      </c>
      <c r="H34" s="37">
        <f t="shared" ref="H34:H63" si="37">G34+1.02/(TAN($A$2*(G34+10.3/(G34+5.11)))*60)</f>
        <v>63.444536090895213</v>
      </c>
      <c r="I34" s="38">
        <f t="shared" ref="I34:I63" si="38">100*(1+COS($A$2*AP34))/2</f>
        <v>27.449466539234781</v>
      </c>
      <c r="J34" s="38">
        <f t="shared" ref="J34:J63" si="39">IF(AH34&gt;180, AS34-180,AS34+180)</f>
        <v>185.88663281536304</v>
      </c>
      <c r="K34" s="25">
        <f t="shared" si="35"/>
        <v>2458968.1632592031</v>
      </c>
      <c r="L34" s="49">
        <f t="shared" ref="L34:L63" si="40">(K34-2451545)/36525</f>
        <v>0.20323513372219248</v>
      </c>
      <c r="M34" s="25">
        <f>MOD(280.46061837+360.98564736629*(K34-2451545)+0.000387933*L34^2-L34^3/38710000+input!$E$2,360)</f>
        <v>105.85526347672567</v>
      </c>
      <c r="N34" s="31">
        <f t="shared" ref="N34:N63" si="41">0.606433+1336.855225*L34 - INT(0.606433+1336.855225*L34)</f>
        <v>0.30238342008669861</v>
      </c>
      <c r="O34" s="25">
        <f t="shared" ref="O34:O63" si="42">22640*SIN(P34)-4586*SIN(P34-2*R34)+2370*SIN(2*R34)+769*SIN(2*P34)-668*SIN(Q34)-412*SIN(2*S34)-212*SIN(2*P34-2*R34)-206*SIN(P34+Q34-2*R34)+192*SIN(P34+2*R34)-165*SIN(Q34-2*R34)-125*SIN(R34)-110*SIN(P34+Q34)+148*SIN(P34-Q34)-55*SIN(2*S34-2*R34)</f>
        <v>-25103.638153795087</v>
      </c>
      <c r="P34" s="32">
        <f t="shared" ref="P34:P63" si="43">2*PI()*(0.374897+1325.55241*L34 - INT(0.374897+1325.55241*L34))</f>
        <v>4.8614154678046404</v>
      </c>
      <c r="Q34" s="33">
        <f t="shared" ref="Q34:Q63" si="44">2*PI()*(0.993133+99.997361*L34 - INT(0.993133+99.997361*L34))</f>
        <v>1.9861779254875926</v>
      </c>
      <c r="R34" s="33">
        <f t="shared" ref="R34:R63" si="45">2*PI()*(0.827361+1236.853086*L34 - INT(0.827361+1236.853086*L34))</f>
        <v>1.2526367327550278</v>
      </c>
      <c r="S34" s="33">
        <f t="shared" ref="S34:S63" si="46">2*PI()*(0.259086+1342.227825*L34 - INT(0.259086+1342.227825*L34))</f>
        <v>0.29491700735605403</v>
      </c>
      <c r="T34" s="33">
        <f t="shared" ref="T34:T63" si="47">S34+(O34+412*SIN(2*S34)+541*SIN(Q34))/206264.8062</f>
        <v>0.17672195492578141</v>
      </c>
      <c r="U34" s="33">
        <f t="shared" ref="U34:U63" si="48">S34-2*R34</f>
        <v>-2.2103564581540018</v>
      </c>
      <c r="V34" s="22">
        <f t="shared" ref="V34:V63" si="49">-526*SIN(U34)+44*SIN(P34+U34)-31*SIN(-P34+U34)-23*SIN(Q34+U34)+11*SIN(-Q34+U34)-25*SIN(-2*P34+S34)+21*SIN(-P34+S34)</f>
        <v>500.13897369619281</v>
      </c>
      <c r="W34" s="33">
        <f t="shared" ref="W34:W63" si="50">2*PI()*(N34+O34/1296000-INT(N34+O34/1296000))</f>
        <v>1.7782251899976254</v>
      </c>
      <c r="X34" s="25">
        <f t="shared" ref="X34:X63" si="51">W34/$A$2</f>
        <v>101.88479841071286</v>
      </c>
      <c r="Y34" s="33">
        <f t="shared" ref="Y34:Y63" si="52">(18520*SIN(T34)+V34)/206264.8062</f>
        <v>1.8209700822997544E-2</v>
      </c>
      <c r="Z34" s="33">
        <f t="shared" ref="Z34:Z63" si="53">COS(Y34)*COS(W34)</f>
        <v>-0.20591041834069135</v>
      </c>
      <c r="AA34" s="33">
        <f t="shared" ref="AA34:AA63" si="54">COS(Y34)*SIN(W34)</f>
        <v>0.97840142225184279</v>
      </c>
      <c r="AB34" s="33">
        <f t="shared" ref="AB34:AB63" si="55">SIN(Y34)</f>
        <v>1.8208694470842512E-2</v>
      </c>
      <c r="AC34" s="33">
        <f t="shared" ref="AC34:AC63" si="56">COS($A$2*(23.4393-46.815*L34/3600))*AA34-SIN($A$2*(23.4393-46.815*L34/3600))*AB34</f>
        <v>0.8904414105327354</v>
      </c>
      <c r="AD34" s="33">
        <f t="shared" ref="AD34:AD63" si="57">SIN($A$2*(23.4393-46.815*L34/3600))*AA34+COS($A$2*(23.4393-46.815*L34/3600))*AB34</f>
        <v>0.40585095050675163</v>
      </c>
      <c r="AE34" s="33">
        <f t="shared" ref="AE34:AE63" si="58">SQRT(1-AD34*AD34)</f>
        <v>0.91393927914975082</v>
      </c>
      <c r="AF34" s="25">
        <f t="shared" ref="AF34:AF63" si="59">ATAN(AD34/AE34)/$A$2</f>
        <v>23.9444630741284</v>
      </c>
      <c r="AG34" s="33">
        <f t="shared" ref="AG34:AG63" si="60">IF(24*ATAN(AC34/(Z34+AE34))/PI()&gt;0,24*ATAN(AC34/(Z34+AE34))/PI(),24*ATAN(AC34/(Z34+AE34))/PI()+24)</f>
        <v>6.8680342232042904</v>
      </c>
      <c r="AH34" s="25">
        <f t="shared" ref="AH34:AH63" si="61">IF(M34-15*AG34&gt;0,M34-15*AG34,360+M34-15*AG34)</f>
        <v>2.8347501286613124</v>
      </c>
      <c r="AI34" s="32">
        <f t="shared" ref="AI34:AI63" si="62">0.950724+0.051818*COS(P34)+0.009531*COS(2*R34-P34)+0.007843*COS(2*R34)+0.002824*COS(2*P34)+0.000857*COS(2*R34+P34)+0.000533*COS(2*R34-Q34)*(1-0.002495*(K34-2415020)/36525)+0.000401*COS(2*R34-Q34-P34)*(1-0.002495*(K34-2415020)/36525)+0.00032*COS(P34-Q34)*(1-0.002495*(K34-2415020)/36525)-0.000271*COS(R34)</f>
        <v>0.94299661116977695</v>
      </c>
      <c r="AJ34" s="33">
        <f>ASIN(COS($A$2*input!$D$2)*COS($A$2*AF34)*COS($A$2*AH34)+SIN($A$2*input!$D$2)*SIN($A$2*AF34))/$A$2</f>
        <v>63.850848312987878</v>
      </c>
      <c r="AK34" s="32">
        <f>ASIN((0.9983271+0.0016764*COS($A$2*2*input!$D$2))*COS($A$2*AJ34)*SIN($A$2*AI34))/$A$2</f>
        <v>0.41475614178312492</v>
      </c>
      <c r="AL34" s="32">
        <f t="shared" ref="AL34:AL63" si="63">AJ34-AK34</f>
        <v>63.436092171204756</v>
      </c>
      <c r="AM34" s="25">
        <f t="shared" ref="AM34:AM63" si="64">MOD(280.4664567 + 360007.6982779*L34/10 + 0.03032028*L34^2/100 + L34^3/49931000,360)</f>
        <v>37.087739276586944</v>
      </c>
      <c r="AN34" s="32">
        <f t="shared" ref="AN34:AN63" si="65">AM34 + (1.9146 - 0.004817*L34 - 0.000014*L34^2)*SIN(Q34)+ (0.019993 - 0.000101*L34)*SIN(2*Q34)+ 0.00029*SIN(3*Q34)</f>
        <v>38.823788918661307</v>
      </c>
      <c r="AO34" s="32">
        <f t="shared" ref="AO34:AO63" si="66">ACOS(COS(W34-$A$2*AN34)*COS(Y34))/$A$2</f>
        <v>63.065836730265374</v>
      </c>
      <c r="AP34" s="22">
        <f t="shared" ref="AP34:AP63" si="67">180 - AO34 -0.1468*(1-0.0549*SIN(Q34))*SIN($A$2*AO34)/(1-0.0167*SIN($A$2*AN34))</f>
        <v>116.80854594583055</v>
      </c>
      <c r="AQ34" s="51">
        <f t="shared" ref="AQ34:AQ63" si="68">SIN($A$2*AH34)</f>
        <v>4.9455540851808463E-2</v>
      </c>
      <c r="AR34" s="51">
        <f>COS($A$2*AH34)*SIN($A$2*input!$D$2) - TAN($A$2*AF34)*COS($A$2*input!$D$2)</f>
        <v>0.4796658131330192</v>
      </c>
      <c r="AS34" s="51">
        <f t="shared" ref="AS34:AS63" si="69">IF(OR(AND(AQ34*AR34&gt;0), AND(AQ34&lt;0,AR34&gt;0)), MOD(ATAN2(AR34,AQ34)/$A$2+360,360),  ATAN2(AR34,AQ34)/$A$2)</f>
        <v>5.8866328153630434</v>
      </c>
    </row>
    <row r="35" spans="1:45">
      <c r="A35"/>
      <c r="B35"/>
      <c r="C35" s="17">
        <f t="shared" ref="C35:C63" si="70">MOD(C34+50/60+28.3/3600,24)</f>
        <v>16.759416666666674</v>
      </c>
      <c r="D35" s="48" t="str">
        <f>caldat!$T$35</f>
        <v>2020  04-29    16:45:33,9</v>
      </c>
      <c r="E35"/>
      <c r="F35"/>
      <c r="G35" s="38">
        <f t="shared" si="36"/>
        <v>62.749346474222847</v>
      </c>
      <c r="H35" s="37">
        <f t="shared" si="37"/>
        <v>62.758045390280429</v>
      </c>
      <c r="I35" s="38">
        <f t="shared" si="38"/>
        <v>37.633727136855079</v>
      </c>
      <c r="J35" s="38">
        <f t="shared" si="39"/>
        <v>183.53568033090301</v>
      </c>
      <c r="K35" s="25">
        <f t="shared" ref="K35:K63" si="71">K34+24.8411944/24</f>
        <v>2458969.1983089698</v>
      </c>
      <c r="L35" s="49">
        <f t="shared" si="40"/>
        <v>0.20326347184037913</v>
      </c>
      <c r="M35" s="25">
        <f>MOD(280.46061837+360.98564736629*(K35-2451545)+0.000387933*L35^2-L35^3/38710000+input!$E$2,360)</f>
        <v>119.4933735942468</v>
      </c>
      <c r="N35" s="31">
        <f t="shared" si="41"/>
        <v>0.34026738145121271</v>
      </c>
      <c r="O35" s="25">
        <f t="shared" si="42"/>
        <v>-25680.106304811092</v>
      </c>
      <c r="P35" s="32">
        <f t="shared" si="43"/>
        <v>5.0974349097860445</v>
      </c>
      <c r="Q35" s="33">
        <f t="shared" si="44"/>
        <v>2.0039828203863475</v>
      </c>
      <c r="R35" s="33">
        <f t="shared" si="45"/>
        <v>1.4728629365391328</v>
      </c>
      <c r="S35" s="33">
        <f t="shared" si="46"/>
        <v>0.5339055678074458</v>
      </c>
      <c r="T35" s="33">
        <f t="shared" si="47"/>
        <v>0.41353552181090514</v>
      </c>
      <c r="U35" s="33">
        <f t="shared" si="48"/>
        <v>-2.4118203052708198</v>
      </c>
      <c r="V35" s="22">
        <f t="shared" si="49"/>
        <v>433.79534406074777</v>
      </c>
      <c r="W35" s="33">
        <f t="shared" si="50"/>
        <v>2.0134623429575349</v>
      </c>
      <c r="X35" s="25">
        <f t="shared" si="51"/>
        <v>115.36289445998906</v>
      </c>
      <c r="Y35" s="33">
        <f t="shared" si="52"/>
        <v>3.818414344216807E-2</v>
      </c>
      <c r="Z35" s="33">
        <f t="shared" si="53"/>
        <v>-0.42803779565119959</v>
      </c>
      <c r="AA35" s="33">
        <f t="shared" si="54"/>
        <v>0.90295422096688294</v>
      </c>
      <c r="AB35" s="33">
        <f t="shared" si="55"/>
        <v>3.8174865188385365E-2</v>
      </c>
      <c r="AC35" s="33">
        <f t="shared" si="56"/>
        <v>0.81327733520080492</v>
      </c>
      <c r="AD35" s="33">
        <f t="shared" si="57"/>
        <v>0.39416192299959596</v>
      </c>
      <c r="AE35" s="33">
        <f t="shared" si="58"/>
        <v>0.91904101021513751</v>
      </c>
      <c r="AF35" s="25">
        <f t="shared" si="59"/>
        <v>23.213715593386972</v>
      </c>
      <c r="AG35" s="33">
        <f t="shared" si="60"/>
        <v>7.850558681439459</v>
      </c>
      <c r="AH35" s="25">
        <f t="shared" si="61"/>
        <v>1.7349933726549125</v>
      </c>
      <c r="AI35" s="32">
        <f t="shared" si="62"/>
        <v>0.95483129291425983</v>
      </c>
      <c r="AJ35" s="33">
        <f>ASIN(COS($A$2*input!$D$2)*COS($A$2*AF35)*COS($A$2*AH35)+SIN($A$2*input!$D$2)*SIN($A$2*AF35))/$A$2</f>
        <v>63.179304279770939</v>
      </c>
      <c r="AK35" s="32">
        <f>ASIN((0.9983271+0.0016764*COS($A$2*2*input!$D$2))*COS($A$2*AJ35)*SIN($A$2*AI35))/$A$2</f>
        <v>0.4299578055480906</v>
      </c>
      <c r="AL35" s="32">
        <f t="shared" si="63"/>
        <v>62.749346474222847</v>
      </c>
      <c r="AM35" s="25">
        <f t="shared" si="64"/>
        <v>38.107933350269377</v>
      </c>
      <c r="AN35" s="32">
        <f t="shared" si="65"/>
        <v>39.829501443392836</v>
      </c>
      <c r="AO35" s="32">
        <f t="shared" si="66"/>
        <v>75.544167791612225</v>
      </c>
      <c r="AP35" s="22">
        <f t="shared" si="67"/>
        <v>104.31930278040601</v>
      </c>
      <c r="AQ35" s="51">
        <f t="shared" si="68"/>
        <v>3.0276719268143383E-2</v>
      </c>
      <c r="AR35" s="51">
        <f>COS($A$2*AH35)*SIN($A$2*input!$D$2) - TAN($A$2*AF35)*COS($A$2*input!$D$2)</f>
        <v>0.49001197582078726</v>
      </c>
      <c r="AS35" s="51">
        <f t="shared" si="69"/>
        <v>3.5356803309030056</v>
      </c>
    </row>
    <row r="36" spans="1:45">
      <c r="A36"/>
      <c r="B36"/>
      <c r="C36" s="17">
        <f t="shared" si="70"/>
        <v>17.600611111111117</v>
      </c>
      <c r="D36" s="48" t="str">
        <f>caldat!$T$36</f>
        <v>2020  04-30    17:36:02,2</v>
      </c>
      <c r="E36"/>
      <c r="F36"/>
      <c r="G36" s="38">
        <f t="shared" si="36"/>
        <v>60.597172973663206</v>
      </c>
      <c r="H36" s="37">
        <f t="shared" si="37"/>
        <v>60.606691899763874</v>
      </c>
      <c r="I36" s="38">
        <f t="shared" si="38"/>
        <v>48.708425259016806</v>
      </c>
      <c r="J36" s="38">
        <f t="shared" si="39"/>
        <v>181.09938216893056</v>
      </c>
      <c r="K36" s="25">
        <f t="shared" si="71"/>
        <v>2458970.2333587366</v>
      </c>
      <c r="L36" s="49">
        <f t="shared" si="40"/>
        <v>0.2032918099585658</v>
      </c>
      <c r="M36" s="25">
        <f>MOD(280.46061837+360.98564736629*(K36-2451545)+0.000387933*L36^2-L36^3/38710000+input!$E$2,360)</f>
        <v>133.13148371130228</v>
      </c>
      <c r="N36" s="31">
        <f t="shared" si="41"/>
        <v>0.37815134281572682</v>
      </c>
      <c r="O36" s="25">
        <f t="shared" si="42"/>
        <v>-24925.036807072513</v>
      </c>
      <c r="P36" s="32">
        <f t="shared" si="43"/>
        <v>5.3334543517681627</v>
      </c>
      <c r="Q36" s="33">
        <f t="shared" si="44"/>
        <v>2.0217877152851473</v>
      </c>
      <c r="R36" s="33">
        <f t="shared" si="45"/>
        <v>1.6930891403232375</v>
      </c>
      <c r="S36" s="33">
        <f t="shared" si="46"/>
        <v>0.77289412825919479</v>
      </c>
      <c r="T36" s="33">
        <f t="shared" si="47"/>
        <v>0.65641154587862705</v>
      </c>
      <c r="U36" s="33">
        <f t="shared" si="48"/>
        <v>-2.6132841523872803</v>
      </c>
      <c r="V36" s="22">
        <f t="shared" si="49"/>
        <v>347.25312639405263</v>
      </c>
      <c r="W36" s="33">
        <f t="shared" si="50"/>
        <v>2.2551549726077305</v>
      </c>
      <c r="X36" s="25">
        <f t="shared" si="51"/>
        <v>129.21086207836373</v>
      </c>
      <c r="Y36" s="33">
        <f t="shared" si="52"/>
        <v>5.6478868137239409E-2</v>
      </c>
      <c r="Z36" s="33">
        <f t="shared" si="53"/>
        <v>-0.63116819492670428</v>
      </c>
      <c r="AA36" s="33">
        <f t="shared" si="54"/>
        <v>0.77358919166809292</v>
      </c>
      <c r="AB36" s="33">
        <f t="shared" si="55"/>
        <v>5.6448846288232206E-2</v>
      </c>
      <c r="AC36" s="33">
        <f t="shared" si="56"/>
        <v>0.68731667646563188</v>
      </c>
      <c r="AD36" s="33">
        <f t="shared" si="57"/>
        <v>0.3594753064748728</v>
      </c>
      <c r="AE36" s="33">
        <f t="shared" si="58"/>
        <v>0.93315459814266377</v>
      </c>
      <c r="AF36" s="25">
        <f t="shared" si="59"/>
        <v>21.067976301081249</v>
      </c>
      <c r="AG36" s="33">
        <f t="shared" si="60"/>
        <v>8.8374331807978663</v>
      </c>
      <c r="AH36" s="25">
        <f t="shared" si="61"/>
        <v>0.5699859993342784</v>
      </c>
      <c r="AI36" s="32">
        <f t="shared" si="62"/>
        <v>0.96775617508649259</v>
      </c>
      <c r="AJ36" s="33">
        <f>ASIN(COS($A$2*input!$D$2)*COS($A$2*AF36)*COS($A$2*AH36)+SIN($A$2*input!$D$2)*SIN($A$2*AF36))/$A$2</f>
        <v>61.064461273188719</v>
      </c>
      <c r="AK36" s="32">
        <f>ASIN((0.9983271+0.0016764*COS($A$2*2*input!$D$2))*COS($A$2*AJ36)*SIN($A$2*AI36))/$A$2</f>
        <v>0.46728829952551698</v>
      </c>
      <c r="AL36" s="32">
        <f t="shared" si="63"/>
        <v>60.597172973663206</v>
      </c>
      <c r="AM36" s="25">
        <f t="shared" si="64"/>
        <v>39.128127423953629</v>
      </c>
      <c r="AN36" s="32">
        <f t="shared" si="65"/>
        <v>40.83468289179136</v>
      </c>
      <c r="AO36" s="32">
        <f t="shared" si="66"/>
        <v>88.378769072584717</v>
      </c>
      <c r="AP36" s="22">
        <f t="shared" si="67"/>
        <v>91.480200277397088</v>
      </c>
      <c r="AQ36" s="51">
        <f t="shared" si="68"/>
        <v>9.947968292751715E-3</v>
      </c>
      <c r="AR36" s="51">
        <f>COS($A$2*AH36)*SIN($A$2*input!$D$2) - TAN($A$2*AF36)*COS($A$2*input!$D$2)</f>
        <v>0.51838811131132034</v>
      </c>
      <c r="AS36" s="51">
        <f t="shared" si="69"/>
        <v>1.0993821689305605</v>
      </c>
    </row>
    <row r="37" spans="1:45">
      <c r="A37"/>
      <c r="B37"/>
      <c r="C37" s="17">
        <f t="shared" si="70"/>
        <v>18.441805555555561</v>
      </c>
      <c r="D37" s="48" t="str">
        <f>caldat!$T$37</f>
        <v>2020  05-01    18:26:30,5</v>
      </c>
      <c r="E37"/>
      <c r="F37"/>
      <c r="G37" s="38">
        <f t="shared" si="36"/>
        <v>57.050616312588552</v>
      </c>
      <c r="H37" s="37">
        <f t="shared" si="37"/>
        <v>57.061565214540508</v>
      </c>
      <c r="I37" s="38">
        <f t="shared" si="38"/>
        <v>60.173363457188259</v>
      </c>
      <c r="J37" s="38">
        <f t="shared" si="39"/>
        <v>179.20206159679714</v>
      </c>
      <c r="K37" s="25">
        <f t="shared" si="71"/>
        <v>2458971.2684085034</v>
      </c>
      <c r="L37" s="49">
        <f t="shared" si="40"/>
        <v>0.20332014807675244</v>
      </c>
      <c r="M37" s="25">
        <f>MOD(280.46061837+360.98564736629*(K37-2451545)+0.000387933*L37^2-L37^3/38710000+input!$E$2,360)</f>
        <v>146.76959382882342</v>
      </c>
      <c r="N37" s="31">
        <f t="shared" si="41"/>
        <v>0.41603530418018408</v>
      </c>
      <c r="O37" s="25">
        <f t="shared" si="42"/>
        <v>-22685.223081193923</v>
      </c>
      <c r="P37" s="32">
        <f t="shared" si="43"/>
        <v>5.5694737937499239</v>
      </c>
      <c r="Q37" s="33">
        <f t="shared" si="44"/>
        <v>2.0395926101839019</v>
      </c>
      <c r="R37" s="33">
        <f t="shared" si="45"/>
        <v>1.9133153441071638</v>
      </c>
      <c r="S37" s="33">
        <f t="shared" si="46"/>
        <v>1.0118826887102295</v>
      </c>
      <c r="T37" s="33">
        <f t="shared" si="47"/>
        <v>0.90603748921199945</v>
      </c>
      <c r="U37" s="33">
        <f t="shared" si="48"/>
        <v>-2.8147479995040978</v>
      </c>
      <c r="V37" s="22">
        <f t="shared" si="49"/>
        <v>243.80473676281463</v>
      </c>
      <c r="W37" s="33">
        <f t="shared" si="50"/>
        <v>2.5040458454050762</v>
      </c>
      <c r="X37" s="25">
        <f t="shared" si="51"/>
        <v>143.47125864897907</v>
      </c>
      <c r="Y37" s="33">
        <f t="shared" si="52"/>
        <v>7.1850644009558914E-2</v>
      </c>
      <c r="Z37" s="33">
        <f t="shared" si="53"/>
        <v>-0.80148507889459597</v>
      </c>
      <c r="AA37" s="33">
        <f t="shared" si="54"/>
        <v>0.59369018099155102</v>
      </c>
      <c r="AB37" s="33">
        <f t="shared" si="55"/>
        <v>7.1788838293585983E-2</v>
      </c>
      <c r="AC37" s="33">
        <f t="shared" si="56"/>
        <v>0.51615802143908018</v>
      </c>
      <c r="AD37" s="33">
        <f t="shared" si="57"/>
        <v>0.30199762451618262</v>
      </c>
      <c r="AE37" s="33">
        <f t="shared" si="58"/>
        <v>0.95330867759953952</v>
      </c>
      <c r="AF37" s="25">
        <f t="shared" si="59"/>
        <v>17.577624661808663</v>
      </c>
      <c r="AG37" s="33">
        <f t="shared" si="60"/>
        <v>9.8145588244427433</v>
      </c>
      <c r="AH37" s="25">
        <f t="shared" si="61"/>
        <v>359.55121146218227</v>
      </c>
      <c r="AI37" s="32">
        <f t="shared" si="62"/>
        <v>0.98109797336619564</v>
      </c>
      <c r="AJ37" s="33">
        <f>ASIN(COS($A$2*input!$D$2)*COS($A$2*AF37)*COS($A$2*AH37)+SIN($A$2*input!$D$2)*SIN($A$2*AF37))/$A$2</f>
        <v>57.575615910562178</v>
      </c>
      <c r="AK37" s="32">
        <f>ASIN((0.9983271+0.0016764*COS($A$2*2*input!$D$2))*COS($A$2*AJ37)*SIN($A$2*AI37))/$A$2</f>
        <v>0.52499959797362272</v>
      </c>
      <c r="AL37" s="32">
        <f t="shared" si="63"/>
        <v>57.050616312588552</v>
      </c>
      <c r="AM37" s="25">
        <f t="shared" si="64"/>
        <v>40.14832149763879</v>
      </c>
      <c r="AN37" s="32">
        <f t="shared" si="65"/>
        <v>41.839338413621384</v>
      </c>
      <c r="AO37" s="32">
        <f t="shared" si="66"/>
        <v>101.60149059976553</v>
      </c>
      <c r="AP37" s="22">
        <f t="shared" si="67"/>
        <v>78.26021086052171</v>
      </c>
      <c r="AQ37" s="51">
        <f t="shared" si="68"/>
        <v>-7.8327575352441382E-3</v>
      </c>
      <c r="AR37" s="51">
        <f>COS($A$2*AH37)*SIN($A$2*input!$D$2) - TAN($A$2*AF37)*COS($A$2*input!$D$2)</f>
        <v>0.56239295215499918</v>
      </c>
      <c r="AS37" s="51">
        <f t="shared" si="69"/>
        <v>359.20206159679714</v>
      </c>
    </row>
    <row r="38" spans="1:45">
      <c r="A38"/>
      <c r="B38"/>
      <c r="C38" s="17">
        <f t="shared" si="70"/>
        <v>19.283000000000005</v>
      </c>
      <c r="D38" s="48" t="str">
        <f>caldat!$T$38</f>
        <v>2020  05-02    19:16:58,8</v>
      </c>
      <c r="E38"/>
      <c r="F38"/>
      <c r="G38" s="38">
        <f t="shared" si="36"/>
        <v>52.307650996822481</v>
      </c>
      <c r="H38" s="37">
        <f t="shared" si="37"/>
        <v>52.320701666852322</v>
      </c>
      <c r="I38" s="38">
        <f t="shared" si="38"/>
        <v>71.404641669887184</v>
      </c>
      <c r="J38" s="38">
        <f t="shared" si="39"/>
        <v>178.02969120381891</v>
      </c>
      <c r="K38" s="25">
        <f t="shared" si="71"/>
        <v>2458972.3034582702</v>
      </c>
      <c r="L38" s="49">
        <f t="shared" si="40"/>
        <v>0.20334848619493912</v>
      </c>
      <c r="M38" s="25">
        <f>MOD(280.46061837+360.98564736629*(K38-2451545)+0.000387933*L38^2-L38^3/38710000+input!$E$2,360)</f>
        <v>160.40770394634455</v>
      </c>
      <c r="N38" s="31">
        <f t="shared" si="41"/>
        <v>0.45391926554469819</v>
      </c>
      <c r="O38" s="25">
        <f t="shared" si="42"/>
        <v>-18919.301151896932</v>
      </c>
      <c r="P38" s="32">
        <f t="shared" si="43"/>
        <v>5.8054932357316851</v>
      </c>
      <c r="Q38" s="33">
        <f t="shared" si="44"/>
        <v>2.0573975050826792</v>
      </c>
      <c r="R38" s="33">
        <f t="shared" si="45"/>
        <v>2.133541547891447</v>
      </c>
      <c r="S38" s="33">
        <f t="shared" si="46"/>
        <v>1.2508712491619782</v>
      </c>
      <c r="T38" s="33">
        <f t="shared" si="47"/>
        <v>1.162658907952361</v>
      </c>
      <c r="U38" s="33">
        <f t="shared" si="48"/>
        <v>-3.0162118466209158</v>
      </c>
      <c r="V38" s="22">
        <f t="shared" si="49"/>
        <v>128.27818549158502</v>
      </c>
      <c r="W38" s="33">
        <f t="shared" si="50"/>
        <v>2.7603354995614864</v>
      </c>
      <c r="X38" s="25">
        <f t="shared" si="51"/>
        <v>158.15557416500886</v>
      </c>
      <c r="Y38" s="33">
        <f t="shared" si="52"/>
        <v>8.3034409501236583E-2</v>
      </c>
      <c r="Z38" s="33">
        <f t="shared" si="53"/>
        <v>-0.92499960766193245</v>
      </c>
      <c r="AA38" s="33">
        <f t="shared" si="54"/>
        <v>0.37080566850335145</v>
      </c>
      <c r="AB38" s="33">
        <f t="shared" si="55"/>
        <v>8.2939025983271131E-2</v>
      </c>
      <c r="AC38" s="33">
        <f t="shared" si="56"/>
        <v>0.30722658399413355</v>
      </c>
      <c r="AD38" s="33">
        <f t="shared" si="57"/>
        <v>0.22357896124762436</v>
      </c>
      <c r="AE38" s="33">
        <f t="shared" si="58"/>
        <v>0.97468582019409378</v>
      </c>
      <c r="AF38" s="25">
        <f t="shared" si="59"/>
        <v>12.919330039602613</v>
      </c>
      <c r="AG38" s="33">
        <f t="shared" si="60"/>
        <v>10.77511761762201</v>
      </c>
      <c r="AH38" s="25">
        <f t="shared" si="61"/>
        <v>358.78093968201438</v>
      </c>
      <c r="AI38" s="32">
        <f t="shared" si="62"/>
        <v>0.99382498439593758</v>
      </c>
      <c r="AJ38" s="33">
        <f>ASIN(COS($A$2*input!$D$2)*COS($A$2*AF38)*COS($A$2*AH38)+SIN($A$2*input!$D$2)*SIN($A$2*AF38))/$A$2</f>
        <v>52.905856779801496</v>
      </c>
      <c r="AK38" s="32">
        <f>ASIN((0.9983271+0.0016764*COS($A$2*2*input!$D$2))*COS($A$2*AJ38)*SIN($A$2*AI38))/$A$2</f>
        <v>0.59820578297901683</v>
      </c>
      <c r="AL38" s="32">
        <f t="shared" si="63"/>
        <v>52.307650996822481</v>
      </c>
      <c r="AM38" s="25">
        <f t="shared" si="64"/>
        <v>41.168515571323951</v>
      </c>
      <c r="AN38" s="32">
        <f t="shared" si="65"/>
        <v>42.843473306022283</v>
      </c>
      <c r="AO38" s="32">
        <f t="shared" si="66"/>
        <v>115.21877259159305</v>
      </c>
      <c r="AP38" s="22">
        <f t="shared" si="67"/>
        <v>64.653412685004241</v>
      </c>
      <c r="AQ38" s="51">
        <f t="shared" si="68"/>
        <v>-2.1275011064741077E-2</v>
      </c>
      <c r="AR38" s="51">
        <f>COS($A$2*AH38)*SIN($A$2*input!$D$2) - TAN($A$2*AF38)*COS($A$2*input!$D$2)</f>
        <v>0.61842479024304353</v>
      </c>
      <c r="AS38" s="51">
        <f t="shared" si="69"/>
        <v>358.02969120381891</v>
      </c>
    </row>
    <row r="39" spans="1:45">
      <c r="A39"/>
      <c r="B39"/>
      <c r="C39" s="17">
        <f t="shared" si="70"/>
        <v>20.124194444444448</v>
      </c>
      <c r="D39" s="48" t="str">
        <f>caldat!$T$39</f>
        <v>2020  05-03    20:07:27,1</v>
      </c>
      <c r="E39"/>
      <c r="F39"/>
      <c r="G39" s="38">
        <f t="shared" si="36"/>
        <v>46.65640177650674</v>
      </c>
      <c r="H39" s="37">
        <f t="shared" si="37"/>
        <v>46.672334949727954</v>
      </c>
      <c r="I39" s="38">
        <f t="shared" si="38"/>
        <v>81.674818251123256</v>
      </c>
      <c r="J39" s="38">
        <f t="shared" si="39"/>
        <v>177.41292190685323</v>
      </c>
      <c r="K39" s="25">
        <f t="shared" si="71"/>
        <v>2458973.3385080369</v>
      </c>
      <c r="L39" s="49">
        <f t="shared" si="40"/>
        <v>0.20337682431312579</v>
      </c>
      <c r="M39" s="25">
        <f>MOD(280.46061837+360.98564736629*(K39-2451545)+0.000387933*L39^2-L39^3/38710000+input!$E$2,360)</f>
        <v>174.04581406386569</v>
      </c>
      <c r="N39" s="31">
        <f t="shared" si="41"/>
        <v>0.4918032269092123</v>
      </c>
      <c r="O39" s="25">
        <f t="shared" si="42"/>
        <v>-13743.597551008777</v>
      </c>
      <c r="P39" s="32">
        <f t="shared" si="43"/>
        <v>6.0415126777134462</v>
      </c>
      <c r="Q39" s="33">
        <f t="shared" si="44"/>
        <v>2.0752023999814786</v>
      </c>
      <c r="R39" s="33">
        <f t="shared" si="45"/>
        <v>2.353767751675552</v>
      </c>
      <c r="S39" s="33">
        <f t="shared" si="46"/>
        <v>1.4898598096137272</v>
      </c>
      <c r="T39" s="33">
        <f t="shared" si="47"/>
        <v>1.4258470862912589</v>
      </c>
      <c r="U39" s="33">
        <f t="shared" si="48"/>
        <v>-3.2176756937373767</v>
      </c>
      <c r="V39" s="22">
        <f t="shared" si="49"/>
        <v>6.7226242026445782</v>
      </c>
      <c r="W39" s="33">
        <f t="shared" si="50"/>
        <v>3.0234599681355454</v>
      </c>
      <c r="X39" s="25">
        <f t="shared" si="51"/>
        <v>173.23149570092511</v>
      </c>
      <c r="Y39" s="33">
        <f t="shared" si="52"/>
        <v>8.8878505972450769E-2</v>
      </c>
      <c r="Z39" s="33">
        <f t="shared" si="53"/>
        <v>-0.98911085958970701</v>
      </c>
      <c r="AA39" s="33">
        <f t="shared" si="54"/>
        <v>0.11739291646863002</v>
      </c>
      <c r="AB39" s="33">
        <f t="shared" si="55"/>
        <v>8.8761537868043042E-2</v>
      </c>
      <c r="AC39" s="33">
        <f t="shared" si="56"/>
        <v>7.2404477603808998E-2</v>
      </c>
      <c r="AD39" s="33">
        <f t="shared" si="57"/>
        <v>0.12813000844700786</v>
      </c>
      <c r="AE39" s="33">
        <f t="shared" si="58"/>
        <v>0.99175738007607972</v>
      </c>
      <c r="AF39" s="25">
        <f t="shared" si="59"/>
        <v>7.3615459911693728</v>
      </c>
      <c r="AG39" s="33">
        <f t="shared" si="60"/>
        <v>11.720888388065442</v>
      </c>
      <c r="AH39" s="25">
        <f t="shared" si="61"/>
        <v>358.23248824288407</v>
      </c>
      <c r="AI39" s="32">
        <f t="shared" si="62"/>
        <v>1.0046505671315058</v>
      </c>
      <c r="AJ39" s="33">
        <f>ASIN(COS($A$2*input!$D$2)*COS($A$2*AF39)*COS($A$2*AH39)+SIN($A$2*input!$D$2)*SIN($A$2*AF39))/$A$2</f>
        <v>47.335896480505966</v>
      </c>
      <c r="AK39" s="32">
        <f>ASIN((0.9983271+0.0016764*COS($A$2*2*input!$D$2))*COS($A$2*AJ39)*SIN($A$2*AI39))/$A$2</f>
        <v>0.67949470399922252</v>
      </c>
      <c r="AL39" s="32">
        <f t="shared" si="63"/>
        <v>46.65640177650674</v>
      </c>
      <c r="AM39" s="25">
        <f t="shared" si="64"/>
        <v>42.188709645009112</v>
      </c>
      <c r="AN39" s="32">
        <f t="shared" si="65"/>
        <v>43.847093011420533</v>
      </c>
      <c r="AO39" s="32">
        <f t="shared" si="66"/>
        <v>129.19898848134324</v>
      </c>
      <c r="AP39" s="22">
        <f t="shared" si="67"/>
        <v>50.691448323629196</v>
      </c>
      <c r="AQ39" s="51">
        <f t="shared" si="68"/>
        <v>-3.0844007045899804E-2</v>
      </c>
      <c r="AR39" s="51">
        <f>COS($A$2*AH39)*SIN($A$2*input!$D$2) - TAN($A$2*AF39)*COS($A$2*input!$D$2)</f>
        <v>0.68263507784230659</v>
      </c>
      <c r="AS39" s="51">
        <f t="shared" si="69"/>
        <v>357.41292190685323</v>
      </c>
    </row>
    <row r="40" spans="1:45">
      <c r="A40"/>
      <c r="B40"/>
      <c r="C40" s="17">
        <f t="shared" si="70"/>
        <v>20.965388888888892</v>
      </c>
      <c r="D40" s="48" t="str">
        <f>caldat!$T$40</f>
        <v>2020  05-04    20:57:55,4</v>
      </c>
      <c r="E40"/>
      <c r="F40"/>
      <c r="G40" s="38">
        <f t="shared" si="36"/>
        <v>40.451022716231023</v>
      </c>
      <c r="H40" s="37">
        <f t="shared" si="37"/>
        <v>40.470803030287179</v>
      </c>
      <c r="I40" s="38">
        <f t="shared" si="38"/>
        <v>90.216533515742057</v>
      </c>
      <c r="J40" s="38">
        <f t="shared" si="39"/>
        <v>177.03793716888418</v>
      </c>
      <c r="K40" s="25">
        <f t="shared" si="71"/>
        <v>2458974.3735578037</v>
      </c>
      <c r="L40" s="49">
        <f t="shared" si="40"/>
        <v>0.20340516243131243</v>
      </c>
      <c r="M40" s="25">
        <f>MOD(280.46061837+360.98564736629*(K40-2451545)+0.000387933*L40^2-L40^3/38710000+input!$E$2,360)</f>
        <v>187.68392418138683</v>
      </c>
      <c r="N40" s="31">
        <f t="shared" si="41"/>
        <v>0.52968718827372641</v>
      </c>
      <c r="O40" s="25">
        <f t="shared" si="42"/>
        <v>-7453.8670313357698</v>
      </c>
      <c r="P40" s="32">
        <f t="shared" si="43"/>
        <v>6.2775321196952074</v>
      </c>
      <c r="Q40" s="33">
        <f t="shared" si="44"/>
        <v>2.0930072948802336</v>
      </c>
      <c r="R40" s="33">
        <f t="shared" si="45"/>
        <v>2.5739939554596569</v>
      </c>
      <c r="S40" s="33">
        <f t="shared" si="46"/>
        <v>1.7288483700651192</v>
      </c>
      <c r="T40" s="33">
        <f t="shared" si="47"/>
        <v>1.6943633346473164</v>
      </c>
      <c r="U40" s="33">
        <f t="shared" si="48"/>
        <v>-3.4191395408541947</v>
      </c>
      <c r="V40" s="22">
        <f t="shared" si="49"/>
        <v>-114.09525907415788</v>
      </c>
      <c r="W40" s="33">
        <f t="shared" si="50"/>
        <v>3.2919853916231157</v>
      </c>
      <c r="X40" s="25">
        <f t="shared" si="51"/>
        <v>188.61686915872599</v>
      </c>
      <c r="Y40" s="33">
        <f t="shared" si="52"/>
        <v>8.8549742203730616E-2</v>
      </c>
      <c r="Z40" s="33">
        <f t="shared" si="53"/>
        <v>-0.98483856910351542</v>
      </c>
      <c r="AA40" s="33">
        <f t="shared" si="54"/>
        <v>-0.14923943381445293</v>
      </c>
      <c r="AB40" s="33">
        <f t="shared" si="55"/>
        <v>8.8434066970153963E-2</v>
      </c>
      <c r="AC40" s="33">
        <f t="shared" si="56"/>
        <v>-0.17210055316617454</v>
      </c>
      <c r="AD40" s="33">
        <f t="shared" si="57"/>
        <v>2.1780551095803014E-2</v>
      </c>
      <c r="AE40" s="33">
        <f t="shared" si="58"/>
        <v>0.99976277565928762</v>
      </c>
      <c r="AF40" s="25">
        <f t="shared" si="59"/>
        <v>1.2480323427026141</v>
      </c>
      <c r="AG40" s="33">
        <f t="shared" si="60"/>
        <v>12.660823156920879</v>
      </c>
      <c r="AH40" s="25">
        <f t="shared" si="61"/>
        <v>357.77157682757365</v>
      </c>
      <c r="AI40" s="32">
        <f t="shared" si="62"/>
        <v>1.0122419265074862</v>
      </c>
      <c r="AJ40" s="33">
        <f>ASIN(COS($A$2*input!$D$2)*COS($A$2*AF40)*COS($A$2*AH40)+SIN($A$2*input!$D$2)*SIN($A$2*AF40))/$A$2</f>
        <v>41.211007687877348</v>
      </c>
      <c r="AK40" s="32">
        <f>ASIN((0.9983271+0.0016764*COS($A$2*2*input!$D$2))*COS($A$2*AJ40)*SIN($A$2*AI40))/$A$2</f>
        <v>0.75998497164632262</v>
      </c>
      <c r="AL40" s="32">
        <f t="shared" si="63"/>
        <v>40.451022716231023</v>
      </c>
      <c r="AM40" s="25">
        <f t="shared" si="64"/>
        <v>43.208903718694273</v>
      </c>
      <c r="AN40" s="32">
        <f t="shared" si="65"/>
        <v>44.850203115419482</v>
      </c>
      <c r="AO40" s="32">
        <f t="shared" si="66"/>
        <v>143.46143113330413</v>
      </c>
      <c r="AP40" s="22">
        <f t="shared" si="67"/>
        <v>36.454336103103508</v>
      </c>
      <c r="AQ40" s="51">
        <f t="shared" si="68"/>
        <v>-3.8883516635487461E-2</v>
      </c>
      <c r="AR40" s="51">
        <f>COS($A$2*AH40)*SIN($A$2*input!$D$2) - TAN($A$2*AF40)*COS($A$2*input!$D$2)</f>
        <v>0.75146153172417651</v>
      </c>
      <c r="AS40" s="51">
        <f t="shared" si="69"/>
        <v>357.03793716888418</v>
      </c>
    </row>
    <row r="41" spans="1:45">
      <c r="A41"/>
      <c r="B41"/>
      <c r="C41" s="17">
        <f t="shared" si="70"/>
        <v>21.806583333333336</v>
      </c>
      <c r="D41" s="48" t="str">
        <f>caldat!$T$41</f>
        <v>2020  05-05    21:48:23,7</v>
      </c>
      <c r="E41"/>
      <c r="F41"/>
      <c r="G41" s="38">
        <f t="shared" si="36"/>
        <v>34.098059636982534</v>
      </c>
      <c r="H41" s="37">
        <f t="shared" si="37"/>
        <v>34.122924022807801</v>
      </c>
      <c r="I41" s="38">
        <f t="shared" si="38"/>
        <v>96.328859533833281</v>
      </c>
      <c r="J41" s="38">
        <f t="shared" si="39"/>
        <v>176.5991479900477</v>
      </c>
      <c r="K41" s="25">
        <f t="shared" si="71"/>
        <v>2458975.4086075705</v>
      </c>
      <c r="L41" s="49">
        <f t="shared" si="40"/>
        <v>0.2034335005494991</v>
      </c>
      <c r="M41" s="25">
        <f>MOD(280.46061837+360.98564736629*(K41-2451545)+0.000387933*L41^2-L41^3/38710000+input!$E$2,360)</f>
        <v>201.3220342984423</v>
      </c>
      <c r="N41" s="31">
        <f t="shared" si="41"/>
        <v>0.56757114963824051</v>
      </c>
      <c r="O41" s="25">
        <f t="shared" si="42"/>
        <v>-511.48712165446307</v>
      </c>
      <c r="P41" s="32">
        <f t="shared" si="43"/>
        <v>0.23036625449738254</v>
      </c>
      <c r="Q41" s="33">
        <f t="shared" si="44"/>
        <v>2.1108121897790331</v>
      </c>
      <c r="R41" s="33">
        <f t="shared" si="45"/>
        <v>2.7942201592437619</v>
      </c>
      <c r="S41" s="33">
        <f t="shared" si="46"/>
        <v>1.9678369305165109</v>
      </c>
      <c r="T41" s="33">
        <f t="shared" si="47"/>
        <v>1.9661821754606528</v>
      </c>
      <c r="U41" s="33">
        <f t="shared" si="48"/>
        <v>-3.6206033879710127</v>
      </c>
      <c r="V41" s="22">
        <f t="shared" si="49"/>
        <v>-227.31536404709982</v>
      </c>
      <c r="W41" s="33">
        <f t="shared" si="50"/>
        <v>3.5636749486431252</v>
      </c>
      <c r="X41" s="25">
        <f t="shared" si="51"/>
        <v>204.18353411375148</v>
      </c>
      <c r="Y41" s="33">
        <f t="shared" si="52"/>
        <v>8.1758154669013372E-2</v>
      </c>
      <c r="Z41" s="33">
        <f t="shared" si="53"/>
        <v>-0.90919070218061282</v>
      </c>
      <c r="AA41" s="33">
        <f t="shared" si="54"/>
        <v>-0.40829248298455562</v>
      </c>
      <c r="AB41" s="33">
        <f t="shared" si="55"/>
        <v>8.1667101127875202E-2</v>
      </c>
      <c r="AC41" s="33">
        <f t="shared" si="56"/>
        <v>-0.40709036165479778</v>
      </c>
      <c r="AD41" s="33">
        <f t="shared" si="57"/>
        <v>-8.7462589237285684E-2</v>
      </c>
      <c r="AE41" s="33">
        <f t="shared" si="58"/>
        <v>0.99616780488224466</v>
      </c>
      <c r="AF41" s="25">
        <f t="shared" si="59"/>
        <v>-5.0176484034896403</v>
      </c>
      <c r="AG41" s="33">
        <f t="shared" si="60"/>
        <v>13.608030710542549</v>
      </c>
      <c r="AH41" s="25">
        <f t="shared" si="61"/>
        <v>357.2015736403041</v>
      </c>
      <c r="AI41" s="32">
        <f t="shared" si="62"/>
        <v>1.0154876065937559</v>
      </c>
      <c r="AJ41" s="33">
        <f>ASIN(COS($A$2*input!$D$2)*COS($A$2*AF41)*COS($A$2*AH41)+SIN($A$2*input!$D$2)*SIN($A$2*AF41))/$A$2</f>
        <v>34.928970294645005</v>
      </c>
      <c r="AK41" s="32">
        <f>ASIN((0.9983271+0.0016764*COS($A$2*2*input!$D$2))*COS($A$2*AJ41)*SIN($A$2*AI41))/$A$2</f>
        <v>0.83091065766246874</v>
      </c>
      <c r="AL41" s="32">
        <f t="shared" si="63"/>
        <v>34.098059636982534</v>
      </c>
      <c r="AM41" s="25">
        <f t="shared" si="64"/>
        <v>44.229097792381253</v>
      </c>
      <c r="AN41" s="32">
        <f t="shared" si="65"/>
        <v>45.852809344672131</v>
      </c>
      <c r="AO41" s="32">
        <f t="shared" si="66"/>
        <v>157.85402378806594</v>
      </c>
      <c r="AP41" s="22">
        <f t="shared" si="67"/>
        <v>22.09260357588677</v>
      </c>
      <c r="AQ41" s="51">
        <f t="shared" si="68"/>
        <v>-4.8822337362325212E-2</v>
      </c>
      <c r="AR41" s="51">
        <f>COS($A$2*AH41)*SIN($A$2*input!$D$2) - TAN($A$2*AF41)*COS($A$2*input!$D$2)</f>
        <v>0.8215670617374139</v>
      </c>
      <c r="AS41" s="51">
        <f t="shared" si="69"/>
        <v>356.5991479900477</v>
      </c>
    </row>
    <row r="42" spans="1:45">
      <c r="A42"/>
      <c r="B42"/>
      <c r="C42" s="17">
        <f t="shared" si="70"/>
        <v>22.64777777777778</v>
      </c>
      <c r="D42" s="48" t="str">
        <f>caldat!$T$42</f>
        <v>2020  05-06    22:38:52</v>
      </c>
      <c r="E42"/>
      <c r="F42"/>
      <c r="G42" s="38">
        <f t="shared" si="36"/>
        <v>28.037856656335975</v>
      </c>
      <c r="H42" s="37">
        <f t="shared" si="37"/>
        <v>28.069365045326506</v>
      </c>
      <c r="I42" s="38">
        <f t="shared" si="38"/>
        <v>99.503087902427922</v>
      </c>
      <c r="J42" s="38">
        <f t="shared" si="39"/>
        <v>175.87421447966142</v>
      </c>
      <c r="K42" s="25">
        <f t="shared" si="71"/>
        <v>2458976.4436573372</v>
      </c>
      <c r="L42" s="49">
        <f t="shared" si="40"/>
        <v>0.20346183866768575</v>
      </c>
      <c r="M42" s="25">
        <f>MOD(280.46061837+360.98564736629*(K42-2451545)+0.000387933*L42^2-L42^3/38710000+input!$E$2,360)</f>
        <v>214.9601444164291</v>
      </c>
      <c r="N42" s="31">
        <f t="shared" si="41"/>
        <v>0.60545511100269778</v>
      </c>
      <c r="O42" s="25">
        <f t="shared" si="42"/>
        <v>6508.0789024222322</v>
      </c>
      <c r="P42" s="32">
        <f t="shared" si="43"/>
        <v>0.46638569647914374</v>
      </c>
      <c r="Q42" s="33">
        <f t="shared" si="44"/>
        <v>2.1286170846777881</v>
      </c>
      <c r="R42" s="33">
        <f t="shared" si="45"/>
        <v>3.0144463630276879</v>
      </c>
      <c r="S42" s="33">
        <f t="shared" si="46"/>
        <v>2.2068254909679026</v>
      </c>
      <c r="T42" s="33">
        <f t="shared" si="47"/>
        <v>2.2386938316124603</v>
      </c>
      <c r="U42" s="33">
        <f t="shared" si="48"/>
        <v>-3.8220672350874731</v>
      </c>
      <c r="V42" s="22">
        <f t="shared" si="49"/>
        <v>-326.63797453960802</v>
      </c>
      <c r="W42" s="33">
        <f t="shared" si="50"/>
        <v>3.8357387145052826</v>
      </c>
      <c r="X42" s="25">
        <f t="shared" si="51"/>
        <v>219.7716396560885</v>
      </c>
      <c r="Y42" s="33">
        <f t="shared" si="52"/>
        <v>6.8910870061475546E-2</v>
      </c>
      <c r="Z42" s="33">
        <f t="shared" si="53"/>
        <v>-0.76677606476690696</v>
      </c>
      <c r="AA42" s="33">
        <f t="shared" si="54"/>
        <v>-0.63821099212787624</v>
      </c>
      <c r="AB42" s="33">
        <f t="shared" si="55"/>
        <v>6.8856343409506943E-2</v>
      </c>
      <c r="AC42" s="33">
        <f t="shared" si="56"/>
        <v>-0.61294539320841368</v>
      </c>
      <c r="AD42" s="33">
        <f t="shared" si="57"/>
        <v>-0.19066308359291576</v>
      </c>
      <c r="AE42" s="33">
        <f t="shared" si="58"/>
        <v>0.98165553457149157</v>
      </c>
      <c r="AF42" s="25">
        <f t="shared" si="59"/>
        <v>-10.991483519626541</v>
      </c>
      <c r="AG42" s="33">
        <f t="shared" si="60"/>
        <v>14.575875898908185</v>
      </c>
      <c r="AH42" s="25">
        <f t="shared" si="61"/>
        <v>356.32200593280629</v>
      </c>
      <c r="AI42" s="32">
        <f t="shared" si="62"/>
        <v>1.0137507633398259</v>
      </c>
      <c r="AJ42" s="33">
        <f>ASIN(COS($A$2*input!$D$2)*COS($A$2*AF42)*COS($A$2*AH42)+SIN($A$2*input!$D$2)*SIN($A$2*AF42))/$A$2</f>
        <v>28.92340566318374</v>
      </c>
      <c r="AK42" s="32">
        <f>ASIN((0.9983271+0.0016764*COS($A$2*2*input!$D$2))*COS($A$2*AJ42)*SIN($A$2*AI42))/$A$2</f>
        <v>0.88554900684776461</v>
      </c>
      <c r="AL42" s="32">
        <f t="shared" si="63"/>
        <v>28.037856656335975</v>
      </c>
      <c r="AM42" s="25">
        <f t="shared" si="64"/>
        <v>45.249291866067324</v>
      </c>
      <c r="AN42" s="32">
        <f t="shared" si="65"/>
        <v>46.854917564727764</v>
      </c>
      <c r="AO42" s="32">
        <f t="shared" si="66"/>
        <v>171.89553271762514</v>
      </c>
      <c r="AP42" s="22">
        <f t="shared" si="67"/>
        <v>8.0844922151180931</v>
      </c>
      <c r="AQ42" s="51">
        <f t="shared" si="68"/>
        <v>-6.4149028081177673E-2</v>
      </c>
      <c r="AR42" s="51">
        <f>COS($A$2*AH42)*SIN($A$2*input!$D$2) - TAN($A$2*AF42)*COS($A$2*input!$D$2)</f>
        <v>0.88931274711821207</v>
      </c>
      <c r="AS42" s="51">
        <f t="shared" si="69"/>
        <v>355.87421447966142</v>
      </c>
    </row>
    <row r="43" spans="1:45">
      <c r="A43"/>
      <c r="B43"/>
      <c r="C43" s="17">
        <f t="shared" si="70"/>
        <v>23.488972222222223</v>
      </c>
      <c r="D43" s="48" t="str">
        <f>caldat!$T$43</f>
        <v>2020  05-07    23:29:20,3</v>
      </c>
      <c r="E43"/>
      <c r="F43"/>
      <c r="G43" s="38">
        <f t="shared" si="36"/>
        <v>22.710862238174119</v>
      </c>
      <c r="H43" s="37">
        <f t="shared" si="37"/>
        <v>22.750754662613112</v>
      </c>
      <c r="I43" s="38">
        <f t="shared" si="38"/>
        <v>99.526143986320051</v>
      </c>
      <c r="J43" s="38">
        <f t="shared" si="39"/>
        <v>174.75729734557791</v>
      </c>
      <c r="K43" s="25">
        <f t="shared" si="71"/>
        <v>2458977.478707104</v>
      </c>
      <c r="L43" s="49">
        <f t="shared" si="40"/>
        <v>0.20349017678587242</v>
      </c>
      <c r="M43" s="25">
        <f>MOD(280.46061837+360.98564736629*(K43-2451545)+0.000387933*L43^2-L43^3/38710000+input!$E$2,360)</f>
        <v>228.59825453348458</v>
      </c>
      <c r="N43" s="31">
        <f t="shared" si="41"/>
        <v>0.64333907236721188</v>
      </c>
      <c r="O43" s="25">
        <f t="shared" si="42"/>
        <v>12995.611189139976</v>
      </c>
      <c r="P43" s="32">
        <f t="shared" si="43"/>
        <v>0.70240513846090491</v>
      </c>
      <c r="Q43" s="33">
        <f t="shared" si="44"/>
        <v>2.1464219795765875</v>
      </c>
      <c r="R43" s="33">
        <f t="shared" si="45"/>
        <v>3.2346725668119714</v>
      </c>
      <c r="S43" s="33">
        <f t="shared" si="46"/>
        <v>2.4458140514196516</v>
      </c>
      <c r="T43" s="33">
        <f t="shared" si="47"/>
        <v>2.5090532956390552</v>
      </c>
      <c r="U43" s="33">
        <f t="shared" si="48"/>
        <v>-4.0235310822042916</v>
      </c>
      <c r="V43" s="22">
        <f t="shared" si="49"/>
        <v>-406.91017649134477</v>
      </c>
      <c r="W43" s="33">
        <f t="shared" si="50"/>
        <v>4.1052231080209625</v>
      </c>
      <c r="X43" s="25">
        <f t="shared" si="51"/>
        <v>235.2119580491796</v>
      </c>
      <c r="Y43" s="33">
        <f t="shared" si="52"/>
        <v>5.1109136684850176E-2</v>
      </c>
      <c r="Z43" s="33">
        <f t="shared" si="53"/>
        <v>-0.56979716847188755</v>
      </c>
      <c r="AA43" s="33">
        <f t="shared" si="54"/>
        <v>-0.82019590134831799</v>
      </c>
      <c r="AB43" s="33">
        <f t="shared" si="55"/>
        <v>5.1086888854574526E-2</v>
      </c>
      <c r="AC43" s="33">
        <f t="shared" si="56"/>
        <v>-0.77284908347735315</v>
      </c>
      <c r="AD43" s="33">
        <f t="shared" si="57"/>
        <v>-0.27934831477858357</v>
      </c>
      <c r="AE43" s="33">
        <f t="shared" si="58"/>
        <v>0.96018983489222864</v>
      </c>
      <c r="AF43" s="25">
        <f t="shared" si="59"/>
        <v>-16.221313958401591</v>
      </c>
      <c r="AG43" s="33">
        <f t="shared" si="60"/>
        <v>15.573321542187545</v>
      </c>
      <c r="AH43" s="25">
        <f t="shared" si="61"/>
        <v>354.99843140067139</v>
      </c>
      <c r="AI43" s="32">
        <f t="shared" si="62"/>
        <v>1.0070331256130776</v>
      </c>
      <c r="AJ43" s="33">
        <f>ASIN(COS($A$2*input!$D$2)*COS($A$2*AF43)*COS($A$2*AH43)+SIN($A$2*input!$D$2)*SIN($A$2*AF43))/$A$2</f>
        <v>23.631627438381592</v>
      </c>
      <c r="AK43" s="32">
        <f>ASIN((0.9983271+0.0016764*COS($A$2*2*input!$D$2))*COS($A$2*AJ43)*SIN($A$2*AI43))/$A$2</f>
        <v>0.9207652002074741</v>
      </c>
      <c r="AL43" s="32">
        <f t="shared" si="63"/>
        <v>22.710862238174119</v>
      </c>
      <c r="AM43" s="25">
        <f t="shared" si="64"/>
        <v>46.269485939755214</v>
      </c>
      <c r="AN43" s="32">
        <f t="shared" si="65"/>
        <v>47.856533777876599</v>
      </c>
      <c r="AO43" s="32">
        <f t="shared" si="66"/>
        <v>172.08607170961179</v>
      </c>
      <c r="AP43" s="22">
        <f t="shared" si="67"/>
        <v>7.894405171125717</v>
      </c>
      <c r="AQ43" s="51">
        <f t="shared" si="68"/>
        <v>-8.7183015759322774E-2</v>
      </c>
      <c r="AR43" s="51">
        <f>COS($A$2*AH43)*SIN($A$2*input!$D$2) - TAN($A$2*AF43)*COS($A$2*input!$D$2)</f>
        <v>0.95013397542806621</v>
      </c>
      <c r="AS43" s="51">
        <f t="shared" si="69"/>
        <v>354.75729734557791</v>
      </c>
    </row>
    <row r="44" spans="1:45">
      <c r="A44"/>
      <c r="B44"/>
      <c r="C44" s="17">
        <f t="shared" si="70"/>
        <v>0.33016666666666694</v>
      </c>
      <c r="D44" s="48" t="str">
        <f>caldat!$T$44</f>
        <v>2020  05-09    00:19:48,6</v>
      </c>
      <c r="E44"/>
      <c r="F44"/>
      <c r="G44" s="38">
        <f t="shared" si="36"/>
        <v>18.508519097777857</v>
      </c>
      <c r="H44" s="37">
        <f t="shared" si="37"/>
        <v>18.558046148727335</v>
      </c>
      <c r="I44" s="38">
        <f t="shared" si="38"/>
        <v>96.518768682341573</v>
      </c>
      <c r="J44" s="38">
        <f t="shared" si="39"/>
        <v>173.27229169718186</v>
      </c>
      <c r="K44" s="25">
        <f t="shared" si="71"/>
        <v>2458978.5137568708</v>
      </c>
      <c r="L44" s="49">
        <f t="shared" si="40"/>
        <v>0.20351851490405909</v>
      </c>
      <c r="M44" s="25">
        <f>MOD(280.46061837+360.98564736629*(K44-2451545)+0.000387933*L44^2-L44^3/38710000+input!$E$2,360)</f>
        <v>242.23636465100572</v>
      </c>
      <c r="N44" s="31">
        <f t="shared" si="41"/>
        <v>0.68122303373172599</v>
      </c>
      <c r="O44" s="25">
        <f t="shared" si="42"/>
        <v>18399.196578939296</v>
      </c>
      <c r="P44" s="32">
        <f t="shared" si="43"/>
        <v>0.93842458044302324</v>
      </c>
      <c r="Q44" s="33">
        <f t="shared" si="44"/>
        <v>2.1642268744753648</v>
      </c>
      <c r="R44" s="33">
        <f t="shared" si="45"/>
        <v>3.4548987705960763</v>
      </c>
      <c r="S44" s="33">
        <f t="shared" si="46"/>
        <v>2.6848026118710435</v>
      </c>
      <c r="T44" s="33">
        <f t="shared" si="47"/>
        <v>2.7745974823265152</v>
      </c>
      <c r="U44" s="33">
        <f t="shared" si="48"/>
        <v>-4.2249949293211095</v>
      </c>
      <c r="V44" s="22">
        <f t="shared" si="49"/>
        <v>-464.55885396466812</v>
      </c>
      <c r="W44" s="33">
        <f t="shared" si="50"/>
        <v>4.3694523786844197</v>
      </c>
      <c r="X44" s="25">
        <f t="shared" si="51"/>
        <v>250.35118008201559</v>
      </c>
      <c r="Y44" s="33">
        <f t="shared" si="52"/>
        <v>2.9964614032730975E-2</v>
      </c>
      <c r="Z44" s="33">
        <f t="shared" si="53"/>
        <v>-0.33610319886120821</v>
      </c>
      <c r="AA44" s="33">
        <f t="shared" si="54"/>
        <v>-0.94134851692522503</v>
      </c>
      <c r="AB44" s="33">
        <f t="shared" si="55"/>
        <v>2.9960130138945364E-2</v>
      </c>
      <c r="AC44" s="33">
        <f t="shared" si="56"/>
        <v>-0.87560380566099016</v>
      </c>
      <c r="AD44" s="33">
        <f t="shared" si="57"/>
        <v>-0.34691874441611553</v>
      </c>
      <c r="AE44" s="33">
        <f t="shared" si="58"/>
        <v>0.93789518858598797</v>
      </c>
      <c r="AF44" s="25">
        <f t="shared" si="59"/>
        <v>-20.298967142609111</v>
      </c>
      <c r="AG44" s="33">
        <f t="shared" si="60"/>
        <v>16.600036542700813</v>
      </c>
      <c r="AH44" s="25">
        <f t="shared" si="61"/>
        <v>353.23581651049352</v>
      </c>
      <c r="AI44" s="32">
        <f t="shared" si="62"/>
        <v>0.99599884327159105</v>
      </c>
      <c r="AJ44" s="33">
        <f>ASIN(COS($A$2*input!$D$2)*COS($A$2*AF44)*COS($A$2*AH44)+SIN($A$2*input!$D$2)*SIN($A$2*AF44))/$A$2</f>
        <v>19.445852756681852</v>
      </c>
      <c r="AK44" s="32">
        <f>ASIN((0.9983271+0.0016764*COS($A$2*2*input!$D$2))*COS($A$2*AJ44)*SIN($A$2*AI44))/$A$2</f>
        <v>0.93733365890399434</v>
      </c>
      <c r="AL44" s="32">
        <f t="shared" si="63"/>
        <v>18.508519097777857</v>
      </c>
      <c r="AM44" s="25">
        <f t="shared" si="64"/>
        <v>47.289680013443103</v>
      </c>
      <c r="AN44" s="32">
        <f t="shared" si="65"/>
        <v>48.857664120958518</v>
      </c>
      <c r="AO44" s="32">
        <f t="shared" si="66"/>
        <v>158.44126161310757</v>
      </c>
      <c r="AP44" s="22">
        <f t="shared" si="67"/>
        <v>21.506595350768215</v>
      </c>
      <c r="AQ44" s="51">
        <f t="shared" si="68"/>
        <v>-0.11778322655155674</v>
      </c>
      <c r="AR44" s="51">
        <f>COS($A$2*AH44)*SIN($A$2*input!$D$2) - TAN($A$2*AF44)*COS($A$2*input!$D$2)</f>
        <v>0.99847344475355437</v>
      </c>
      <c r="AS44" s="51">
        <f t="shared" si="69"/>
        <v>353.27229169718186</v>
      </c>
    </row>
    <row r="45" spans="1:45">
      <c r="A45"/>
      <c r="B45"/>
      <c r="C45" s="17">
        <f t="shared" si="70"/>
        <v>1.1713611111111115</v>
      </c>
      <c r="D45" s="48" t="str">
        <f>caldat!$T$45</f>
        <v>2020  05-10    01:10:16,9</v>
      </c>
      <c r="E45"/>
      <c r="F45"/>
      <c r="G45" s="38">
        <f t="shared" si="36"/>
        <v>15.719084490157504</v>
      </c>
      <c r="H45" s="37">
        <f t="shared" si="37"/>
        <v>15.777547129743626</v>
      </c>
      <c r="I45" s="38">
        <f t="shared" si="38"/>
        <v>90.889370561101529</v>
      </c>
      <c r="J45" s="38">
        <f t="shared" si="39"/>
        <v>171.56565644568497</v>
      </c>
      <c r="K45" s="25">
        <f t="shared" si="71"/>
        <v>2458979.5488066375</v>
      </c>
      <c r="L45" s="49">
        <f t="shared" si="40"/>
        <v>0.20354685302224573</v>
      </c>
      <c r="M45" s="25">
        <f>MOD(280.46061837+360.98564736629*(K45-2451545)+0.000387933*L45^2-L45^3/38710000+input!$E$2,360)</f>
        <v>255.87447476899251</v>
      </c>
      <c r="N45" s="31">
        <f t="shared" si="41"/>
        <v>0.7191069950962401</v>
      </c>
      <c r="O45" s="25">
        <f t="shared" si="42"/>
        <v>22304.225526218579</v>
      </c>
      <c r="P45" s="32">
        <f t="shared" si="43"/>
        <v>1.1744440224244272</v>
      </c>
      <c r="Q45" s="33">
        <f t="shared" si="44"/>
        <v>2.1820317693741198</v>
      </c>
      <c r="R45" s="33">
        <f t="shared" si="45"/>
        <v>3.6751249743801813</v>
      </c>
      <c r="S45" s="33">
        <f t="shared" si="46"/>
        <v>2.923791172322435</v>
      </c>
      <c r="T45" s="33">
        <f t="shared" si="47"/>
        <v>3.0332302276441374</v>
      </c>
      <c r="U45" s="33">
        <f t="shared" si="48"/>
        <v>-4.4264587764379275</v>
      </c>
      <c r="V45" s="22">
        <f t="shared" si="49"/>
        <v>-497.81043910535072</v>
      </c>
      <c r="W45" s="33">
        <f t="shared" si="50"/>
        <v>4.6264164426953913</v>
      </c>
      <c r="X45" s="25">
        <f t="shared" si="51"/>
        <v>265.07413643637381</v>
      </c>
      <c r="Y45" s="33">
        <f t="shared" si="52"/>
        <v>7.2971072223972236E-3</v>
      </c>
      <c r="Z45" s="33">
        <f t="shared" si="53"/>
        <v>-8.5864382917635304E-2</v>
      </c>
      <c r="AA45" s="33">
        <f t="shared" si="54"/>
        <v>-0.99628011167415165</v>
      </c>
      <c r="AB45" s="33">
        <f t="shared" si="55"/>
        <v>7.2970424634504899E-3</v>
      </c>
      <c r="AC45" s="33">
        <f t="shared" si="56"/>
        <v>-0.91698966554541472</v>
      </c>
      <c r="AD45" s="33">
        <f t="shared" si="57"/>
        <v>-0.38956034324489708</v>
      </c>
      <c r="AE45" s="33">
        <f t="shared" si="58"/>
        <v>0.92100094406624688</v>
      </c>
      <c r="AF45" s="25">
        <f t="shared" si="59"/>
        <v>-22.927145443396309</v>
      </c>
      <c r="AG45" s="33">
        <f t="shared" si="60"/>
        <v>17.643371954212871</v>
      </c>
      <c r="AH45" s="25">
        <f t="shared" si="61"/>
        <v>351.22389545579944</v>
      </c>
      <c r="AI45" s="32">
        <f t="shared" si="62"/>
        <v>0.98185005255746494</v>
      </c>
      <c r="AJ45" s="33">
        <f>ASIN(COS($A$2*input!$D$2)*COS($A$2*AF45)*COS($A$2*AH45)+SIN($A$2*input!$D$2)*SIN($A$2*AF45))/$A$2</f>
        <v>16.65787835263329</v>
      </c>
      <c r="AK45" s="32">
        <f>ASIN((0.9983271+0.0016764*COS($A$2*2*input!$D$2))*COS($A$2*AJ45)*SIN($A$2*AI45))/$A$2</f>
        <v>0.93879386247578545</v>
      </c>
      <c r="AL45" s="32">
        <f t="shared" si="63"/>
        <v>15.719084490157504</v>
      </c>
      <c r="AM45" s="25">
        <f t="shared" si="64"/>
        <v>48.309874087131902</v>
      </c>
      <c r="AN45" s="32">
        <f t="shared" si="65"/>
        <v>49.858314863172538</v>
      </c>
      <c r="AO45" s="32">
        <f t="shared" si="66"/>
        <v>144.78201731747785</v>
      </c>
      <c r="AP45" s="22">
        <f t="shared" si="67"/>
        <v>35.136085445462975</v>
      </c>
      <c r="AQ45" s="51">
        <f t="shared" si="68"/>
        <v>-0.15257367801635188</v>
      </c>
      <c r="AR45" s="51">
        <f>COS($A$2*AH45)*SIN($A$2*input!$D$2) - TAN($A$2*AF45)*COS($A$2*input!$D$2)</f>
        <v>1.0289587380733787</v>
      </c>
      <c r="AS45" s="51">
        <f t="shared" si="69"/>
        <v>351.56565644568497</v>
      </c>
    </row>
    <row r="46" spans="1:45">
      <c r="A46"/>
      <c r="B46"/>
      <c r="C46" s="17">
        <f t="shared" si="70"/>
        <v>2.0125555555555561</v>
      </c>
      <c r="D46" s="48" t="str">
        <f>caldat!$T$46</f>
        <v>2020  05-11    02:00:45,2</v>
      </c>
      <c r="E46"/>
      <c r="F46"/>
      <c r="G46" s="38">
        <f t="shared" si="36"/>
        <v>14.487003095232774</v>
      </c>
      <c r="H46" s="37">
        <f t="shared" si="37"/>
        <v>14.550392223728259</v>
      </c>
      <c r="I46" s="38">
        <f t="shared" si="38"/>
        <v>83.223242731288479</v>
      </c>
      <c r="J46" s="38">
        <f t="shared" si="39"/>
        <v>169.8711322614684</v>
      </c>
      <c r="K46" s="25">
        <f t="shared" si="71"/>
        <v>2458980.5838564043</v>
      </c>
      <c r="L46" s="49">
        <f t="shared" si="40"/>
        <v>0.2035751911404324</v>
      </c>
      <c r="M46" s="25">
        <f>MOD(280.46061837+360.98564736629*(K46-2451545)+0.000387933*L46^2-L46^3/38710000+input!$E$2,360)</f>
        <v>269.51258488604799</v>
      </c>
      <c r="N46" s="31">
        <f t="shared" si="41"/>
        <v>0.75699095646075421</v>
      </c>
      <c r="O46" s="25">
        <f t="shared" si="42"/>
        <v>24483.635243226789</v>
      </c>
      <c r="P46" s="32">
        <f t="shared" si="43"/>
        <v>1.4104634644065457</v>
      </c>
      <c r="Q46" s="33">
        <f t="shared" si="44"/>
        <v>2.1998366642729192</v>
      </c>
      <c r="R46" s="33">
        <f t="shared" si="45"/>
        <v>3.8953511781642858</v>
      </c>
      <c r="S46" s="33">
        <f t="shared" si="46"/>
        <v>3.162779732774184</v>
      </c>
      <c r="T46" s="33">
        <f t="shared" si="47"/>
        <v>3.2836851707068324</v>
      </c>
      <c r="U46" s="33">
        <f t="shared" si="48"/>
        <v>-4.6279226235543875</v>
      </c>
      <c r="V46" s="22">
        <f t="shared" si="49"/>
        <v>-506.67420129104005</v>
      </c>
      <c r="W46" s="33">
        <f t="shared" si="50"/>
        <v>4.8750144685941521</v>
      </c>
      <c r="X46" s="25">
        <f t="shared" si="51"/>
        <v>279.31775411565673</v>
      </c>
      <c r="Y46" s="33">
        <f t="shared" si="52"/>
        <v>-1.5171668447239243E-2</v>
      </c>
      <c r="Z46" s="33">
        <f t="shared" si="53"/>
        <v>0.16189097434332708</v>
      </c>
      <c r="AA46" s="33">
        <f t="shared" si="54"/>
        <v>-0.98669202417118185</v>
      </c>
      <c r="AB46" s="33">
        <f t="shared" si="55"/>
        <v>-1.5171086419368917E-2</v>
      </c>
      <c r="AC46" s="33">
        <f t="shared" si="56"/>
        <v>-0.89925623500865037</v>
      </c>
      <c r="AD46" s="33">
        <f t="shared" si="57"/>
        <v>-0.40636133701944988</v>
      </c>
      <c r="AE46" s="33">
        <f t="shared" si="58"/>
        <v>0.91371246230735248</v>
      </c>
      <c r="AF46" s="25">
        <f t="shared" si="59"/>
        <v>-23.976463691833082</v>
      </c>
      <c r="AG46" s="33">
        <f t="shared" si="60"/>
        <v>18.680367163978158</v>
      </c>
      <c r="AH46" s="25">
        <f t="shared" si="61"/>
        <v>349.3070774263756</v>
      </c>
      <c r="AI46" s="32">
        <f t="shared" si="62"/>
        <v>0.96609152877253734</v>
      </c>
      <c r="AJ46" s="33">
        <f>ASIN(COS($A$2*input!$D$2)*COS($A$2*AF46)*COS($A$2*AH46)+SIN($A$2*input!$D$2)*SIN($A$2*AF46))/$A$2</f>
        <v>15.416501162754146</v>
      </c>
      <c r="AK46" s="32">
        <f>ASIN((0.9983271+0.0016764*COS($A$2*2*input!$D$2))*COS($A$2*AJ46)*SIN($A$2*AI46))/$A$2</f>
        <v>0.92949806752137243</v>
      </c>
      <c r="AL46" s="32">
        <f t="shared" si="63"/>
        <v>14.487003095232774</v>
      </c>
      <c r="AM46" s="25">
        <f t="shared" si="64"/>
        <v>49.330068160820701</v>
      </c>
      <c r="AN46" s="32">
        <f t="shared" si="65"/>
        <v>50.858492403859813</v>
      </c>
      <c r="AO46" s="32">
        <f t="shared" si="66"/>
        <v>131.53489628255707</v>
      </c>
      <c r="AP46" s="22">
        <f t="shared" si="67"/>
        <v>48.358716410922597</v>
      </c>
      <c r="AQ46" s="51">
        <f t="shared" si="68"/>
        <v>-0.18554523732033773</v>
      </c>
      <c r="AR46" s="51">
        <f>COS($A$2*AH46)*SIN($A$2*input!$D$2) - TAN($A$2*AF46)*COS($A$2*input!$D$2)</f>
        <v>1.0386137856572701</v>
      </c>
      <c r="AS46" s="51">
        <f t="shared" si="69"/>
        <v>349.8711322614684</v>
      </c>
    </row>
    <row r="47" spans="1:45">
      <c r="A47"/>
      <c r="B47"/>
      <c r="C47" s="17">
        <f t="shared" si="70"/>
        <v>2.8537500000000007</v>
      </c>
      <c r="D47" s="48" t="str">
        <f>caldat!$T$47</f>
        <v>2020  05-12    02:51:13,5</v>
      </c>
      <c r="E47"/>
      <c r="F47"/>
      <c r="G47" s="38">
        <f t="shared" si="36"/>
        <v>14.803312526296265</v>
      </c>
      <c r="H47" s="37">
        <f t="shared" si="37"/>
        <v>14.865366587556236</v>
      </c>
      <c r="I47" s="38">
        <f t="shared" si="38"/>
        <v>74.155276716554823</v>
      </c>
      <c r="J47" s="38">
        <f t="shared" si="39"/>
        <v>168.45016288879566</v>
      </c>
      <c r="K47" s="25">
        <f t="shared" si="71"/>
        <v>2458981.6189061711</v>
      </c>
      <c r="L47" s="49">
        <f t="shared" si="40"/>
        <v>0.20360352925861905</v>
      </c>
      <c r="M47" s="25">
        <f>MOD(280.46061837+360.98564736629*(K47-2451545)+0.000387933*L47^2-L47^3/38710000+input!$E$2,360)</f>
        <v>283.15069500356913</v>
      </c>
      <c r="N47" s="31">
        <f t="shared" si="41"/>
        <v>0.79487491782521147</v>
      </c>
      <c r="O47" s="25">
        <f t="shared" si="42"/>
        <v>24908.643737189279</v>
      </c>
      <c r="P47" s="32">
        <f t="shared" si="43"/>
        <v>1.6464829063879496</v>
      </c>
      <c r="Q47" s="33">
        <f t="shared" si="44"/>
        <v>2.2176415591716743</v>
      </c>
      <c r="R47" s="33">
        <f t="shared" si="45"/>
        <v>4.1155773819482118</v>
      </c>
      <c r="S47" s="33">
        <f t="shared" si="46"/>
        <v>3.4017682932255759</v>
      </c>
      <c r="T47" s="33">
        <f t="shared" si="47"/>
        <v>3.5256148984141058</v>
      </c>
      <c r="U47" s="33">
        <f t="shared" si="48"/>
        <v>-4.8293864706708476</v>
      </c>
      <c r="V47" s="22">
        <f t="shared" si="49"/>
        <v>-492.70611536462491</v>
      </c>
      <c r="W47" s="33">
        <f t="shared" si="50"/>
        <v>5.1151069173416763</v>
      </c>
      <c r="X47" s="25">
        <f t="shared" si="51"/>
        <v>293.07403812185089</v>
      </c>
      <c r="Y47" s="33">
        <f t="shared" si="52"/>
        <v>-3.6027840390469745E-2</v>
      </c>
      <c r="Z47" s="33">
        <f t="shared" si="53"/>
        <v>0.39166595680127586</v>
      </c>
      <c r="AA47" s="33">
        <f t="shared" si="54"/>
        <v>-0.91940216146605747</v>
      </c>
      <c r="AB47" s="33">
        <f t="shared" si="55"/>
        <v>-3.6020046841762118E-2</v>
      </c>
      <c r="AC47" s="33">
        <f t="shared" si="56"/>
        <v>-0.82922540375817566</v>
      </c>
      <c r="AD47" s="33">
        <f t="shared" si="57"/>
        <v>-0.39872673354696403</v>
      </c>
      <c r="AE47" s="33">
        <f t="shared" si="58"/>
        <v>0.91706978576058673</v>
      </c>
      <c r="AF47" s="25">
        <f t="shared" si="59"/>
        <v>-23.498604544926572</v>
      </c>
      <c r="AG47" s="33">
        <f t="shared" si="60"/>
        <v>19.685510258917169</v>
      </c>
      <c r="AH47" s="25">
        <f t="shared" si="61"/>
        <v>347.86804111981161</v>
      </c>
      <c r="AI47" s="32">
        <f t="shared" si="62"/>
        <v>0.95025363467186774</v>
      </c>
      <c r="AJ47" s="33">
        <f>ASIN(COS($A$2*input!$D$2)*COS($A$2*AF47)*COS($A$2*AH47)+SIN($A$2*input!$D$2)*SIN($A$2*AF47))/$A$2</f>
        <v>15.716241178104832</v>
      </c>
      <c r="AK47" s="32">
        <f>ASIN((0.9983271+0.0016764*COS($A$2*2*input!$D$2))*COS($A$2*AJ47)*SIN($A$2*AI47))/$A$2</f>
        <v>0.91292865180856786</v>
      </c>
      <c r="AL47" s="32">
        <f t="shared" si="63"/>
        <v>14.803312526296265</v>
      </c>
      <c r="AM47" s="25">
        <f t="shared" si="64"/>
        <v>50.350262234509501</v>
      </c>
      <c r="AN47" s="32">
        <f t="shared" si="65"/>
        <v>51.858203270279844</v>
      </c>
      <c r="AO47" s="32">
        <f t="shared" si="66"/>
        <v>118.76374005016892</v>
      </c>
      <c r="AP47" s="22">
        <f t="shared" si="67"/>
        <v>61.111573435365933</v>
      </c>
      <c r="AQ47" s="51">
        <f t="shared" si="68"/>
        <v>-0.21016392571414536</v>
      </c>
      <c r="AR47" s="51">
        <f>COS($A$2*AH47)*SIN($A$2*input!$D$2) - TAN($A$2*AF47)*COS($A$2*input!$D$2)</f>
        <v>1.0284091228988674</v>
      </c>
      <c r="AS47" s="51">
        <f t="shared" si="69"/>
        <v>348.45016288879566</v>
      </c>
    </row>
    <row r="48" spans="1:45">
      <c r="A48"/>
      <c r="B48"/>
      <c r="C48" s="17">
        <f t="shared" si="70"/>
        <v>3.6949444444444453</v>
      </c>
      <c r="D48" s="48" t="str">
        <f>caldat!$T$48</f>
        <v>2020  05-13    03:41:41,8</v>
      </c>
      <c r="E48"/>
      <c r="F48"/>
      <c r="G48" s="38">
        <f t="shared" si="36"/>
        <v>16.530759145477905</v>
      </c>
      <c r="H48" s="37">
        <f t="shared" si="37"/>
        <v>16.586340348479254</v>
      </c>
      <c r="I48" s="38">
        <f t="shared" si="38"/>
        <v>64.273107481211241</v>
      </c>
      <c r="J48" s="38">
        <f t="shared" si="39"/>
        <v>167.5298244642633</v>
      </c>
      <c r="K48" s="25">
        <f t="shared" si="71"/>
        <v>2458982.6539559378</v>
      </c>
      <c r="L48" s="49">
        <f t="shared" si="40"/>
        <v>0.20363186737680572</v>
      </c>
      <c r="M48" s="25">
        <f>MOD(280.46061837+360.98564736629*(K48-2451545)+0.000387933*L48^2-L48^3/38710000+input!$E$2,360)</f>
        <v>296.7888051206246</v>
      </c>
      <c r="N48" s="31">
        <f t="shared" si="41"/>
        <v>0.83275887918978242</v>
      </c>
      <c r="O48" s="25">
        <f t="shared" si="42"/>
        <v>23721.799349890327</v>
      </c>
      <c r="P48" s="32">
        <f t="shared" si="43"/>
        <v>1.882502348370068</v>
      </c>
      <c r="Q48" s="33">
        <f t="shared" si="44"/>
        <v>2.2354464540704737</v>
      </c>
      <c r="R48" s="33">
        <f t="shared" si="45"/>
        <v>4.3358035857324957</v>
      </c>
      <c r="S48" s="33">
        <f t="shared" si="46"/>
        <v>3.6407568536769674</v>
      </c>
      <c r="T48" s="33">
        <f t="shared" si="47"/>
        <v>3.7595068819019408</v>
      </c>
      <c r="U48" s="33">
        <f t="shared" si="48"/>
        <v>-5.0308503177880244</v>
      </c>
      <c r="V48" s="22">
        <f t="shared" si="49"/>
        <v>-458.60684686325357</v>
      </c>
      <c r="W48" s="33">
        <f t="shared" si="50"/>
        <v>5.3473848828022019</v>
      </c>
      <c r="X48" s="25">
        <f t="shared" si="51"/>
        <v>306.38258521662453</v>
      </c>
      <c r="Y48" s="33">
        <f t="shared" si="52"/>
        <v>-5.4240546144026645E-2</v>
      </c>
      <c r="Z48" s="33">
        <f t="shared" si="53"/>
        <v>0.59230185921092182</v>
      </c>
      <c r="AA48" s="33">
        <f t="shared" si="54"/>
        <v>-0.80389013850857916</v>
      </c>
      <c r="AB48" s="33">
        <f t="shared" si="55"/>
        <v>-5.421395377523068E-2</v>
      </c>
      <c r="AC48" s="33">
        <f t="shared" si="56"/>
        <v>-0.7160067292976845</v>
      </c>
      <c r="AD48" s="33">
        <f t="shared" si="57"/>
        <v>-0.3694764825746259</v>
      </c>
      <c r="AE48" s="33">
        <f t="shared" si="58"/>
        <v>0.92924008136986969</v>
      </c>
      <c r="AF48" s="25">
        <f t="shared" si="59"/>
        <v>-21.683334236607344</v>
      </c>
      <c r="AG48" s="33">
        <f t="shared" si="60"/>
        <v>20.639903648616656</v>
      </c>
      <c r="AH48" s="25">
        <f t="shared" si="61"/>
        <v>347.19025039137478</v>
      </c>
      <c r="AI48" s="32">
        <f t="shared" si="62"/>
        <v>0.93564978102759533</v>
      </c>
      <c r="AJ48" s="33">
        <f>ASIN(COS($A$2*input!$D$2)*COS($A$2*AF48)*COS($A$2*AH48)+SIN($A$2*input!$D$2)*SIN($A$2*AF48))/$A$2</f>
        <v>17.421730702308572</v>
      </c>
      <c r="AK48" s="32">
        <f>ASIN((0.9983271+0.0016764*COS($A$2*2*input!$D$2))*COS($A$2*AJ48)*SIN($A$2*AI48))/$A$2</f>
        <v>0.89097155683066664</v>
      </c>
      <c r="AL48" s="32">
        <f t="shared" si="63"/>
        <v>16.530759145477905</v>
      </c>
      <c r="AM48" s="25">
        <f t="shared" si="64"/>
        <v>51.370456308199209</v>
      </c>
      <c r="AN48" s="32">
        <f t="shared" si="65"/>
        <v>52.857454115370047</v>
      </c>
      <c r="AO48" s="32">
        <f t="shared" si="66"/>
        <v>106.44995101195276</v>
      </c>
      <c r="AP48" s="22">
        <f t="shared" si="67"/>
        <v>73.413524536030565</v>
      </c>
      <c r="AQ48" s="51">
        <f t="shared" si="68"/>
        <v>-0.22171442852770856</v>
      </c>
      <c r="AR48" s="51">
        <f>COS($A$2*AH48)*SIN($A$2*input!$D$2) - TAN($A$2*AF48)*COS($A$2*input!$D$2)</f>
        <v>1.0025585580557499</v>
      </c>
      <c r="AS48" s="51">
        <f t="shared" si="69"/>
        <v>347.5298244642633</v>
      </c>
    </row>
    <row r="49" spans="1:45">
      <c r="A49"/>
      <c r="B49"/>
      <c r="C49" s="17">
        <f t="shared" si="70"/>
        <v>4.5361388888888898</v>
      </c>
      <c r="D49" s="48" t="str">
        <f>caldat!$T$49</f>
        <v>2020  05-14    04:32:10,1</v>
      </c>
      <c r="E49"/>
      <c r="F49"/>
      <c r="G49" s="38">
        <f t="shared" si="36"/>
        <v>19.449803287474712</v>
      </c>
      <c r="H49" s="37">
        <f t="shared" si="37"/>
        <v>19.496844294744967</v>
      </c>
      <c r="I49" s="38">
        <f t="shared" si="38"/>
        <v>54.072092463990927</v>
      </c>
      <c r="J49" s="38">
        <f t="shared" si="39"/>
        <v>167.26322296724885</v>
      </c>
      <c r="K49" s="25">
        <f t="shared" si="71"/>
        <v>2458983.6890057046</v>
      </c>
      <c r="L49" s="49">
        <f t="shared" si="40"/>
        <v>0.20366020549499239</v>
      </c>
      <c r="M49" s="25">
        <f>MOD(280.46061837+360.98564736629*(K49-2451545)+0.000387933*L49^2-L49^3/38710000+input!$E$2,360)</f>
        <v>310.4269152386114</v>
      </c>
      <c r="N49" s="31">
        <f t="shared" si="41"/>
        <v>0.87064284055429653</v>
      </c>
      <c r="O49" s="25">
        <f t="shared" si="42"/>
        <v>21184.331204236216</v>
      </c>
      <c r="P49" s="32">
        <f t="shared" si="43"/>
        <v>2.1185217903518292</v>
      </c>
      <c r="Q49" s="33">
        <f t="shared" si="44"/>
        <v>2.2532513489692509</v>
      </c>
      <c r="R49" s="33">
        <f t="shared" si="45"/>
        <v>4.5560297895166002</v>
      </c>
      <c r="S49" s="33">
        <f t="shared" si="46"/>
        <v>3.8797454141287164</v>
      </c>
      <c r="T49" s="33">
        <f t="shared" si="47"/>
        <v>3.9864738674028453</v>
      </c>
      <c r="U49" s="33">
        <f t="shared" si="48"/>
        <v>-5.2323141649044835</v>
      </c>
      <c r="V49" s="22">
        <f t="shared" si="49"/>
        <v>-407.73346043625634</v>
      </c>
      <c r="W49" s="33">
        <f t="shared" si="50"/>
        <v>5.5731148395015486</v>
      </c>
      <c r="X49" s="25">
        <f t="shared" si="51"/>
        <v>319.31595904516792</v>
      </c>
      <c r="Y49" s="33">
        <f t="shared" si="52"/>
        <v>-6.9128119658576931E-2</v>
      </c>
      <c r="Z49" s="33">
        <f t="shared" si="53"/>
        <v>0.75650478128784737</v>
      </c>
      <c r="AA49" s="33">
        <f t="shared" si="54"/>
        <v>-0.65033024387163918</v>
      </c>
      <c r="AB49" s="33">
        <f t="shared" si="55"/>
        <v>-6.9073075756626301E-2</v>
      </c>
      <c r="AC49" s="33">
        <f t="shared" si="56"/>
        <v>-0.56920547782233955</v>
      </c>
      <c r="AD49" s="33">
        <f t="shared" si="57"/>
        <v>-0.32203360058489011</v>
      </c>
      <c r="AE49" s="33">
        <f t="shared" si="58"/>
        <v>0.94672823983143728</v>
      </c>
      <c r="AF49" s="25">
        <f t="shared" si="59"/>
        <v>-18.785953098549623</v>
      </c>
      <c r="AG49" s="33">
        <f t="shared" si="60"/>
        <v>21.53611012350585</v>
      </c>
      <c r="AH49" s="25">
        <f t="shared" si="61"/>
        <v>347.38526338602367</v>
      </c>
      <c r="AI49" s="32">
        <f t="shared" si="62"/>
        <v>0.92322550725826946</v>
      </c>
      <c r="AJ49" s="33">
        <f>ASIN(COS($A$2*input!$D$2)*COS($A$2*AF49)*COS($A$2*AH49)+SIN($A$2*input!$D$2)*SIN($A$2*AF49))/$A$2</f>
        <v>20.313903444263744</v>
      </c>
      <c r="AK49" s="32">
        <f>ASIN((0.9983271+0.0016764*COS($A$2*2*input!$D$2))*COS($A$2*AJ49)*SIN($A$2*AI49))/$A$2</f>
        <v>0.86410015678903174</v>
      </c>
      <c r="AL49" s="32">
        <f t="shared" si="63"/>
        <v>19.449803287474712</v>
      </c>
      <c r="AM49" s="25">
        <f t="shared" si="64"/>
        <v>52.390650381889827</v>
      </c>
      <c r="AN49" s="32">
        <f t="shared" si="65"/>
        <v>53.856251715491538</v>
      </c>
      <c r="AO49" s="32">
        <f t="shared" si="66"/>
        <v>94.529425974795785</v>
      </c>
      <c r="AP49" s="22">
        <f t="shared" si="67"/>
        <v>85.328551911920812</v>
      </c>
      <c r="AQ49" s="51">
        <f t="shared" si="68"/>
        <v>-0.2183942423453733</v>
      </c>
      <c r="AR49" s="51">
        <f>COS($A$2*AH49)*SIN($A$2*input!$D$2) - TAN($A$2*AF49)*COS($A$2*input!$D$2)</f>
        <v>0.96619952160882527</v>
      </c>
      <c r="AS49" s="51">
        <f t="shared" si="69"/>
        <v>347.26322296724885</v>
      </c>
    </row>
    <row r="50" spans="1:45">
      <c r="A50"/>
      <c r="B50"/>
      <c r="C50" s="17">
        <f t="shared" si="70"/>
        <v>5.3773333333333344</v>
      </c>
      <c r="D50" s="48" t="str">
        <f>caldat!$T$50</f>
        <v>2020  05-15    05:22:38,4</v>
      </c>
      <c r="E50"/>
      <c r="F50"/>
      <c r="G50" s="38">
        <f t="shared" si="36"/>
        <v>23.304786158985848</v>
      </c>
      <c r="H50" s="37">
        <f t="shared" si="37"/>
        <v>23.343573419949667</v>
      </c>
      <c r="I50" s="38">
        <f t="shared" si="38"/>
        <v>43.955351291445304</v>
      </c>
      <c r="J50" s="38">
        <f t="shared" si="39"/>
        <v>167.72073047136411</v>
      </c>
      <c r="K50" s="25">
        <f t="shared" si="71"/>
        <v>2458984.7240554714</v>
      </c>
      <c r="L50" s="49">
        <f t="shared" si="40"/>
        <v>0.20368854361317904</v>
      </c>
      <c r="M50" s="25">
        <f>MOD(280.46061837+360.98564736629*(K50-2451545)+0.000387933*L50^2-L50^3/38710000+input!$E$2,360)</f>
        <v>324.06502535613254</v>
      </c>
      <c r="N50" s="31">
        <f t="shared" si="41"/>
        <v>0.90852680191875379</v>
      </c>
      <c r="O50" s="25">
        <f t="shared" si="42"/>
        <v>17615.150717132317</v>
      </c>
      <c r="P50" s="32">
        <f t="shared" si="43"/>
        <v>2.3545412323335904</v>
      </c>
      <c r="Q50" s="33">
        <f t="shared" si="44"/>
        <v>2.2710562438680282</v>
      </c>
      <c r="R50" s="33">
        <f t="shared" si="45"/>
        <v>4.7762559933007056</v>
      </c>
      <c r="S50" s="33">
        <f t="shared" si="46"/>
        <v>4.1187339745801088</v>
      </c>
      <c r="T50" s="33">
        <f t="shared" si="47"/>
        <v>4.207992606765754</v>
      </c>
      <c r="U50" s="33">
        <f t="shared" si="48"/>
        <v>-5.4337780120213024</v>
      </c>
      <c r="V50" s="22">
        <f t="shared" si="49"/>
        <v>-343.61540047688999</v>
      </c>
      <c r="W50" s="33">
        <f t="shared" si="50"/>
        <v>5.7938429136194944</v>
      </c>
      <c r="X50" s="25">
        <f t="shared" si="51"/>
        <v>331.962746112177</v>
      </c>
      <c r="Y50" s="33">
        <f t="shared" si="52"/>
        <v>-8.027182426204478E-2</v>
      </c>
      <c r="Z50" s="33">
        <f t="shared" si="53"/>
        <v>0.87979999966113254</v>
      </c>
      <c r="AA50" s="33">
        <f t="shared" si="54"/>
        <v>-0.46853198694177006</v>
      </c>
      <c r="AB50" s="33">
        <f t="shared" si="55"/>
        <v>-8.0185645901671043E-2</v>
      </c>
      <c r="AC50" s="33">
        <f t="shared" si="56"/>
        <v>-0.39798565170981726</v>
      </c>
      <c r="AD50" s="33">
        <f t="shared" si="57"/>
        <v>-0.25992187601158767</v>
      </c>
      <c r="AE50" s="33">
        <f t="shared" si="58"/>
        <v>0.96562964865967993</v>
      </c>
      <c r="AF50" s="25">
        <f t="shared" si="59"/>
        <v>-15.065426595880329</v>
      </c>
      <c r="AG50" s="33">
        <f t="shared" si="60"/>
        <v>22.377329544400617</v>
      </c>
      <c r="AH50" s="25">
        <f t="shared" si="61"/>
        <v>348.40508219012327</v>
      </c>
      <c r="AI50" s="32">
        <f t="shared" si="62"/>
        <v>0.91351987353439668</v>
      </c>
      <c r="AJ50" s="33">
        <f>ASIN(COS($A$2*input!$D$2)*COS($A$2*AF50)*COS($A$2*AH50)+SIN($A$2*input!$D$2)*SIN($A$2*AF50))/$A$2</f>
        <v>24.136795290756528</v>
      </c>
      <c r="AK50" s="32">
        <f>ASIN((0.9983271+0.0016764*COS($A$2*2*input!$D$2))*COS($A$2*AJ50)*SIN($A$2*AI50))/$A$2</f>
        <v>0.83200913177067759</v>
      </c>
      <c r="AL50" s="32">
        <f t="shared" si="63"/>
        <v>23.304786158985848</v>
      </c>
      <c r="AM50" s="25">
        <f t="shared" si="64"/>
        <v>53.410844455579536</v>
      </c>
      <c r="AN50" s="32">
        <f t="shared" si="65"/>
        <v>54.854602968163242</v>
      </c>
      <c r="AO50" s="32">
        <f t="shared" si="66"/>
        <v>82.914863033904609</v>
      </c>
      <c r="AP50" s="22">
        <f t="shared" si="67"/>
        <v>96.94364144450995</v>
      </c>
      <c r="AQ50" s="51">
        <f t="shared" si="68"/>
        <v>-0.2009910310989706</v>
      </c>
      <c r="AR50" s="51">
        <f>COS($A$2*AH50)*SIN($A$2*input!$D$2) - TAN($A$2*AF50)*COS($A$2*input!$D$2)</f>
        <v>0.92343320318229538</v>
      </c>
      <c r="AS50" s="51">
        <f t="shared" si="69"/>
        <v>347.72073047136411</v>
      </c>
    </row>
    <row r="51" spans="1:45">
      <c r="A51" s="13"/>
      <c r="C51" s="17">
        <f t="shared" si="70"/>
        <v>6.218527777777779</v>
      </c>
      <c r="D51" s="48" t="str">
        <f>caldat!$T$51</f>
        <v>2020  05-16    06:13:06,7</v>
      </c>
      <c r="G51" s="38">
        <f t="shared" si="36"/>
        <v>27.836549517093086</v>
      </c>
      <c r="H51" s="37">
        <f t="shared" si="37"/>
        <v>27.868322023791062</v>
      </c>
      <c r="I51" s="38">
        <f t="shared" si="38"/>
        <v>34.257663503322398</v>
      </c>
      <c r="J51" s="38">
        <f t="shared" si="39"/>
        <v>168.90155908438942</v>
      </c>
      <c r="K51" s="25">
        <f t="shared" si="71"/>
        <v>2458985.7591052381</v>
      </c>
      <c r="L51" s="49">
        <f t="shared" si="40"/>
        <v>0.20371688173136571</v>
      </c>
      <c r="M51" s="25">
        <f>MOD(280.46061837+360.98564736629*(K51-2451545)+0.000387933*L51^2-L51^3/38710000+input!$E$2,360)</f>
        <v>337.70313547318801</v>
      </c>
      <c r="N51" s="31">
        <f t="shared" si="41"/>
        <v>0.9464107632832679</v>
      </c>
      <c r="O51" s="25">
        <f t="shared" si="42"/>
        <v>13338.012628741715</v>
      </c>
      <c r="P51" s="32">
        <f t="shared" si="43"/>
        <v>2.5905606743153515</v>
      </c>
      <c r="Q51" s="33">
        <f t="shared" si="44"/>
        <v>2.2888611387668054</v>
      </c>
      <c r="R51" s="33">
        <f t="shared" si="45"/>
        <v>4.9964821970848101</v>
      </c>
      <c r="S51" s="33">
        <f t="shared" si="46"/>
        <v>4.3577225350318569</v>
      </c>
      <c r="T51" s="33">
        <f t="shared" si="47"/>
        <v>4.4256632389128772</v>
      </c>
      <c r="U51" s="33">
        <f t="shared" si="48"/>
        <v>-5.6352418591377633</v>
      </c>
      <c r="V51" s="22">
        <f t="shared" si="49"/>
        <v>-269.55926761331528</v>
      </c>
      <c r="W51" s="33">
        <f t="shared" si="50"/>
        <v>6.011138712430304</v>
      </c>
      <c r="X51" s="25">
        <f t="shared" si="51"/>
        <v>344.41287828996025</v>
      </c>
      <c r="Y51" s="33">
        <f t="shared" si="52"/>
        <v>-8.742878122558792E-2</v>
      </c>
      <c r="Z51" s="33">
        <f t="shared" si="53"/>
        <v>0.95954399356051256</v>
      </c>
      <c r="AA51" s="33">
        <f t="shared" si="54"/>
        <v>-0.26767702301074936</v>
      </c>
      <c r="AB51" s="33">
        <f t="shared" si="55"/>
        <v>-8.7317442553281943E-2</v>
      </c>
      <c r="AC51" s="33">
        <f t="shared" si="56"/>
        <v>-0.21086458112182946</v>
      </c>
      <c r="AD51" s="33">
        <f t="shared" si="57"/>
        <v>-0.18657827539737401</v>
      </c>
      <c r="AE51" s="33">
        <f t="shared" si="58"/>
        <v>0.9824400985046069</v>
      </c>
      <c r="AF51" s="25">
        <f t="shared" si="59"/>
        <v>-10.753163217550879</v>
      </c>
      <c r="AG51" s="33">
        <f t="shared" si="60"/>
        <v>23.173731473465303</v>
      </c>
      <c r="AH51" s="25">
        <f t="shared" si="61"/>
        <v>350.09716337120847</v>
      </c>
      <c r="AI51" s="32">
        <f t="shared" si="62"/>
        <v>0.90672112079432499</v>
      </c>
      <c r="AJ51" s="33">
        <f>ASIN(COS($A$2*input!$D$2)*COS($A$2*AF51)*COS($A$2*AH51)+SIN($A$2*input!$D$2)*SIN($A$2*AF51))/$A$2</f>
        <v>28.63083078378817</v>
      </c>
      <c r="AK51" s="32">
        <f>ASIN((0.9983271+0.0016764*COS($A$2*2*input!$D$2))*COS($A$2*AJ51)*SIN($A$2*AI51))/$A$2</f>
        <v>0.79428126669508436</v>
      </c>
      <c r="AL51" s="32">
        <f t="shared" si="63"/>
        <v>27.836549517093086</v>
      </c>
      <c r="AM51" s="25">
        <f t="shared" si="64"/>
        <v>54.431038529271063</v>
      </c>
      <c r="AN51" s="32">
        <f t="shared" si="65"/>
        <v>55.852514889792516</v>
      </c>
      <c r="AO51" s="32">
        <f t="shared" si="66"/>
        <v>71.51309978776321</v>
      </c>
      <c r="AP51" s="22">
        <f t="shared" si="67"/>
        <v>108.35156127079357</v>
      </c>
      <c r="AQ51" s="51">
        <f t="shared" si="68"/>
        <v>-0.17197787136564555</v>
      </c>
      <c r="AR51" s="51">
        <f>COS($A$2*AH51)*SIN($A$2*input!$D$2) - TAN($A$2*AF51)*COS($A$2*input!$D$2)</f>
        <v>0.87670481140619516</v>
      </c>
      <c r="AS51" s="51">
        <f t="shared" si="69"/>
        <v>348.90155908438942</v>
      </c>
    </row>
    <row r="52" spans="1:45">
      <c r="C52" s="17">
        <f t="shared" si="70"/>
        <v>7.0597222222222236</v>
      </c>
      <c r="D52" s="48" t="str">
        <f>caldat!$T$52</f>
        <v>2020  05-17    07:03:35</v>
      </c>
      <c r="G52" s="38">
        <f t="shared" si="36"/>
        <v>32.799349732164686</v>
      </c>
      <c r="H52" s="37">
        <f t="shared" si="37"/>
        <v>32.825456503651566</v>
      </c>
      <c r="I52" s="38">
        <f t="shared" si="38"/>
        <v>25.272935837953892</v>
      </c>
      <c r="J52" s="38">
        <f t="shared" si="39"/>
        <v>170.74913691196662</v>
      </c>
      <c r="K52" s="25">
        <f t="shared" si="71"/>
        <v>2458986.7941550049</v>
      </c>
      <c r="L52" s="49">
        <f t="shared" si="40"/>
        <v>0.20374521984955235</v>
      </c>
      <c r="M52" s="25">
        <f>MOD(280.46061837+360.98564736629*(K52-2451545)+0.000387933*L52^2-L52^3/38710000+input!$E$2,360)</f>
        <v>351.34124559070915</v>
      </c>
      <c r="N52" s="31">
        <f t="shared" si="41"/>
        <v>0.984294724647782</v>
      </c>
      <c r="O52" s="25">
        <f t="shared" si="42"/>
        <v>8647.2988857872206</v>
      </c>
      <c r="P52" s="32">
        <f t="shared" si="43"/>
        <v>2.8265801162971127</v>
      </c>
      <c r="Q52" s="33">
        <f t="shared" si="44"/>
        <v>2.30666603366556</v>
      </c>
      <c r="R52" s="33">
        <f t="shared" si="45"/>
        <v>5.2167084008689146</v>
      </c>
      <c r="S52" s="33">
        <f t="shared" si="46"/>
        <v>4.5967110954828918</v>
      </c>
      <c r="T52" s="33">
        <f t="shared" si="47"/>
        <v>4.641036564001614</v>
      </c>
      <c r="U52" s="33">
        <f t="shared" si="48"/>
        <v>-5.8367057062549375</v>
      </c>
      <c r="V52" s="22">
        <f t="shared" si="49"/>
        <v>-188.40526932296618</v>
      </c>
      <c r="W52" s="33">
        <f t="shared" si="50"/>
        <v>6.2264294398860498</v>
      </c>
      <c r="X52" s="25">
        <f t="shared" si="51"/>
        <v>356.74812834147576</v>
      </c>
      <c r="Y52" s="33">
        <f t="shared" si="52"/>
        <v>-9.0472443660626803E-2</v>
      </c>
      <c r="Z52" s="33">
        <f t="shared" si="53"/>
        <v>0.99430656276438067</v>
      </c>
      <c r="AA52" s="33">
        <f t="shared" si="54"/>
        <v>-5.649340374273832E-2</v>
      </c>
      <c r="AB52" s="33">
        <f t="shared" si="55"/>
        <v>-9.0349070704921208E-2</v>
      </c>
      <c r="AC52" s="33">
        <f t="shared" si="56"/>
        <v>-1.5897744238526072E-2</v>
      </c>
      <c r="AD52" s="33">
        <f t="shared" si="57"/>
        <v>-0.10536470458274586</v>
      </c>
      <c r="AE52" s="33">
        <f t="shared" si="58"/>
        <v>0.99443364737331308</v>
      </c>
      <c r="AF52" s="25">
        <f t="shared" si="59"/>
        <v>-6.0481791514756438</v>
      </c>
      <c r="AG52" s="33">
        <f t="shared" si="60"/>
        <v>23.938932580366835</v>
      </c>
      <c r="AH52" s="25">
        <f t="shared" si="61"/>
        <v>352.25725688520663</v>
      </c>
      <c r="AI52" s="32">
        <f t="shared" si="62"/>
        <v>0.90277231564866212</v>
      </c>
      <c r="AJ52" s="33">
        <f>ASIN(COS($A$2*input!$D$2)*COS($A$2*AF52)*COS($A$2*AH52)+SIN($A$2*input!$D$2)*SIN($A$2*AF52))/$A$2</f>
        <v>33.550234377030911</v>
      </c>
      <c r="AK52" s="32">
        <f>ASIN((0.9983271+0.0016764*COS($A$2*2*input!$D$2))*COS($A$2*AJ52)*SIN($A$2*AI52))/$A$2</f>
        <v>0.75088464486622575</v>
      </c>
      <c r="AL52" s="32">
        <f t="shared" si="63"/>
        <v>32.799349732164686</v>
      </c>
      <c r="AM52" s="25">
        <f t="shared" si="64"/>
        <v>55.451232602962591</v>
      </c>
      <c r="AN52" s="32">
        <f t="shared" si="65"/>
        <v>56.849994613379629</v>
      </c>
      <c r="AO52" s="32">
        <f t="shared" si="66"/>
        <v>60.236511349952821</v>
      </c>
      <c r="AP52" s="22">
        <f t="shared" si="67"/>
        <v>119.63950658455336</v>
      </c>
      <c r="AQ52" s="51">
        <f t="shared" si="68"/>
        <v>-0.13472542954596803</v>
      </c>
      <c r="AR52" s="51">
        <f>COS($A$2*AH52)*SIN($A$2*input!$D$2) - TAN($A$2*AF52)*COS($A$2*input!$D$2)</f>
        <v>0.82716662222608561</v>
      </c>
      <c r="AS52" s="51">
        <f t="shared" si="69"/>
        <v>350.74913691196662</v>
      </c>
    </row>
    <row r="53" spans="1:45">
      <c r="C53" s="17">
        <f t="shared" si="70"/>
        <v>7.9009166666666681</v>
      </c>
      <c r="D53" s="48" t="str">
        <f>caldat!$T$53</f>
        <v>2020  05-18    07:54:03,3</v>
      </c>
      <c r="G53" s="38">
        <f t="shared" si="36"/>
        <v>37.966761719304557</v>
      </c>
      <c r="H53" s="37">
        <f t="shared" si="37"/>
        <v>37.988360312405078</v>
      </c>
      <c r="I53" s="38">
        <f t="shared" si="38"/>
        <v>17.273764406326986</v>
      </c>
      <c r="J53" s="38">
        <f t="shared" si="39"/>
        <v>173.15873876717961</v>
      </c>
      <c r="K53" s="25">
        <f t="shared" si="71"/>
        <v>2458987.8292047717</v>
      </c>
      <c r="L53" s="49">
        <f t="shared" si="40"/>
        <v>0.20377355796773902</v>
      </c>
      <c r="M53" s="25">
        <f>MOD(280.46061837+360.98564736629*(K53-2451545)+0.000387933*L53^2-L53^3/38710000+input!$E$2,360)</f>
        <v>4.9793557086959481</v>
      </c>
      <c r="N53" s="31">
        <f t="shared" si="41"/>
        <v>2.2178686012296112E-2</v>
      </c>
      <c r="O53" s="25">
        <f t="shared" si="42"/>
        <v>3794.5108769565127</v>
      </c>
      <c r="P53" s="32">
        <f t="shared" si="43"/>
        <v>3.0625995582788739</v>
      </c>
      <c r="Q53" s="33">
        <f t="shared" si="44"/>
        <v>2.3244709285643594</v>
      </c>
      <c r="R53" s="33">
        <f t="shared" si="45"/>
        <v>5.43693460465302</v>
      </c>
      <c r="S53" s="33">
        <f t="shared" si="46"/>
        <v>4.8356996559346408</v>
      </c>
      <c r="T53" s="33">
        <f t="shared" si="47"/>
        <v>4.8555208545577111</v>
      </c>
      <c r="U53" s="33">
        <f t="shared" si="48"/>
        <v>-6.0381695533713993</v>
      </c>
      <c r="V53" s="22">
        <f t="shared" si="49"/>
        <v>-102.46523415507768</v>
      </c>
      <c r="W53" s="33">
        <f t="shared" si="50"/>
        <v>0.15774910194768293</v>
      </c>
      <c r="X53" s="25">
        <f t="shared" si="51"/>
        <v>9.0383577635811871</v>
      </c>
      <c r="Y53" s="33">
        <f t="shared" si="52"/>
        <v>-8.9366102122086677E-2</v>
      </c>
      <c r="Z53" s="33">
        <f t="shared" si="53"/>
        <v>0.98364244632409958</v>
      </c>
      <c r="AA53" s="33">
        <f t="shared" si="54"/>
        <v>0.15646876776355317</v>
      </c>
      <c r="AB53" s="33">
        <f t="shared" si="55"/>
        <v>-8.9247198858542084E-2</v>
      </c>
      <c r="AC53" s="33">
        <f t="shared" si="56"/>
        <v>0.17905687901069711</v>
      </c>
      <c r="AD53" s="33">
        <f t="shared" si="57"/>
        <v>-1.9651256155510152E-2</v>
      </c>
      <c r="AE53" s="33">
        <f t="shared" si="58"/>
        <v>0.99980689542106604</v>
      </c>
      <c r="AF53" s="25">
        <f t="shared" si="59"/>
        <v>-1.1260065197792826</v>
      </c>
      <c r="AG53" s="33">
        <f t="shared" si="60"/>
        <v>0.68778963601555321</v>
      </c>
      <c r="AH53" s="25">
        <f t="shared" si="61"/>
        <v>354.66251116846263</v>
      </c>
      <c r="AI53" s="32">
        <f t="shared" si="62"/>
        <v>0.9014775372075301</v>
      </c>
      <c r="AJ53" s="33">
        <f>ASIN(COS($A$2*input!$D$2)*COS($A$2*AF53)*COS($A$2*AH53)+SIN($A$2*input!$D$2)*SIN($A$2*AF53))/$A$2</f>
        <v>38.669211245279911</v>
      </c>
      <c r="AK53" s="32">
        <f>ASIN((0.9983271+0.0016764*COS($A$2*2*input!$D$2))*COS($A$2*AJ53)*SIN($A$2*AI53))/$A$2</f>
        <v>0.70244952597535049</v>
      </c>
      <c r="AL53" s="32">
        <f t="shared" si="63"/>
        <v>37.966761719304557</v>
      </c>
      <c r="AM53" s="25">
        <f t="shared" si="64"/>
        <v>56.471426676655938</v>
      </c>
      <c r="AN53" s="32">
        <f t="shared" si="65"/>
        <v>57.847049386229422</v>
      </c>
      <c r="AO53" s="32">
        <f t="shared" si="66"/>
        <v>49.008483723535988</v>
      </c>
      <c r="AP53" s="22">
        <f t="shared" si="67"/>
        <v>130.88362091141346</v>
      </c>
      <c r="AQ53" s="51">
        <f t="shared" si="68"/>
        <v>-9.3022073825472618E-2</v>
      </c>
      <c r="AR53" s="51">
        <f>COS($A$2*AH53)*SIN($A$2*input!$D$2) - TAN($A$2*AF53)*COS($A$2*input!$D$2)</f>
        <v>0.77535693380500348</v>
      </c>
      <c r="AS53" s="51">
        <f t="shared" si="69"/>
        <v>353.15873876717961</v>
      </c>
    </row>
    <row r="54" spans="1:45">
      <c r="C54" s="17">
        <f t="shared" si="70"/>
        <v>8.7421111111111127</v>
      </c>
      <c r="D54" s="48" t="str">
        <f>caldat!$T$54</f>
        <v>2020  05-19    08:44:31,6</v>
      </c>
      <c r="G54" s="38">
        <f t="shared" si="36"/>
        <v>43.131860778263651</v>
      </c>
      <c r="H54" s="37">
        <f t="shared" si="37"/>
        <v>43.149872144670731</v>
      </c>
      <c r="I54" s="38">
        <f t="shared" si="38"/>
        <v>10.520461320549312</v>
      </c>
      <c r="J54" s="38">
        <f t="shared" si="39"/>
        <v>175.97315858719736</v>
      </c>
      <c r="K54" s="25">
        <f t="shared" si="71"/>
        <v>2458988.8642545384</v>
      </c>
      <c r="L54" s="49">
        <f t="shared" si="40"/>
        <v>0.20380189608592569</v>
      </c>
      <c r="M54" s="25">
        <f>MOD(280.46061837+360.98564736629*(K54-2451545)+0.000387933*L54^2-L54^3/38710000+input!$E$2,360)</f>
        <v>18.617465825751424</v>
      </c>
      <c r="N54" s="31">
        <f t="shared" si="41"/>
        <v>6.0062647376810219E-2</v>
      </c>
      <c r="O54" s="25">
        <f t="shared" si="42"/>
        <v>-1009.6970160921521</v>
      </c>
      <c r="P54" s="32">
        <f t="shared" si="43"/>
        <v>3.298619000260635</v>
      </c>
      <c r="Q54" s="33">
        <f t="shared" si="44"/>
        <v>2.3422758234631367</v>
      </c>
      <c r="R54" s="33">
        <f t="shared" si="45"/>
        <v>5.6571608084373031</v>
      </c>
      <c r="S54" s="33">
        <f t="shared" si="46"/>
        <v>5.0746882163863898</v>
      </c>
      <c r="T54" s="33">
        <f t="shared" si="47"/>
        <v>5.0703493622035509</v>
      </c>
      <c r="U54" s="33">
        <f t="shared" si="48"/>
        <v>-6.2396334004882164</v>
      </c>
      <c r="V54" s="22">
        <f t="shared" si="49"/>
        <v>-13.634138124450541</v>
      </c>
      <c r="W54" s="33">
        <f t="shared" si="50"/>
        <v>0.37248959423651301</v>
      </c>
      <c r="X54" s="25">
        <f t="shared" si="51"/>
        <v>21.342081662292749</v>
      </c>
      <c r="Y54" s="33">
        <f t="shared" si="52"/>
        <v>-8.4162268309140392E-2</v>
      </c>
      <c r="Z54" s="33">
        <f t="shared" si="53"/>
        <v>0.92812735565487059</v>
      </c>
      <c r="AA54" s="33">
        <f t="shared" si="54"/>
        <v>0.36264725672645148</v>
      </c>
      <c r="AB54" s="33">
        <f t="shared" si="55"/>
        <v>-8.4062945902915465E-2</v>
      </c>
      <c r="AC54" s="33">
        <f t="shared" si="56"/>
        <v>0.36616376664845818</v>
      </c>
      <c r="AD54" s="33">
        <f t="shared" si="57"/>
        <v>6.7109669041880773E-2</v>
      </c>
      <c r="AE54" s="33">
        <f t="shared" si="58"/>
        <v>0.99774560501216403</v>
      </c>
      <c r="AF54" s="25">
        <f t="shared" si="59"/>
        <v>3.8479928673894883</v>
      </c>
      <c r="AG54" s="33">
        <f t="shared" si="60"/>
        <v>1.4353446977553164</v>
      </c>
      <c r="AH54" s="25">
        <f t="shared" si="61"/>
        <v>357.08729535942166</v>
      </c>
      <c r="AI54" s="32">
        <f t="shared" si="62"/>
        <v>0.9025742513036471</v>
      </c>
      <c r="AJ54" s="33">
        <f>ASIN(COS($A$2*input!$D$2)*COS($A$2*AF54)*COS($A$2*AH54)+SIN($A$2*input!$D$2)*SIN($A$2*AF54))/$A$2</f>
        <v>43.782204227148398</v>
      </c>
      <c r="AK54" s="32">
        <f>ASIN((0.9983271+0.0016764*COS($A$2*2*input!$D$2))*COS($A$2*AJ54)*SIN($A$2*AI54))/$A$2</f>
        <v>0.65034344888474593</v>
      </c>
      <c r="AL54" s="32">
        <f t="shared" si="63"/>
        <v>43.131860778263651</v>
      </c>
      <c r="AM54" s="25">
        <f t="shared" si="64"/>
        <v>57.491620750349284</v>
      </c>
      <c r="AN54" s="32">
        <f t="shared" si="65"/>
        <v>58.843686567638755</v>
      </c>
      <c r="AO54" s="32">
        <f t="shared" si="66"/>
        <v>37.765097004469887</v>
      </c>
      <c r="AP54" s="22">
        <f t="shared" si="67"/>
        <v>142.14728508327005</v>
      </c>
      <c r="AQ54" s="51">
        <f t="shared" si="68"/>
        <v>-5.0814392672574024E-2</v>
      </c>
      <c r="AR54" s="51">
        <f>COS($A$2*AH54)*SIN($A$2*input!$D$2) - TAN($A$2*AF54)*COS($A$2*input!$D$2)</f>
        <v>0.72182006931677534</v>
      </c>
      <c r="AS54" s="51">
        <f t="shared" si="69"/>
        <v>355.97315858719736</v>
      </c>
    </row>
    <row r="55" spans="1:45">
      <c r="C55" s="17">
        <f t="shared" si="70"/>
        <v>9.5833055555555582</v>
      </c>
      <c r="D55" s="48" t="str">
        <f>caldat!$T$55</f>
        <v>2020  05-20    09:34:59,9</v>
      </c>
      <c r="G55" s="38">
        <f t="shared" si="36"/>
        <v>48.104390376228672</v>
      </c>
      <c r="H55" s="37">
        <f t="shared" si="37"/>
        <v>48.119537916425109</v>
      </c>
      <c r="I55" s="38">
        <f t="shared" si="38"/>
        <v>5.261607909569932</v>
      </c>
      <c r="J55" s="38">
        <f t="shared" si="39"/>
        <v>178.96769293748463</v>
      </c>
      <c r="K55" s="25">
        <f t="shared" si="71"/>
        <v>2458989.8993043052</v>
      </c>
      <c r="L55" s="49">
        <f t="shared" si="40"/>
        <v>0.20383023420411234</v>
      </c>
      <c r="M55" s="25">
        <f>MOD(280.46061837+360.98564736629*(K55-2451545)+0.000387933*L55^2-L55^3/38710000+input!$E$2,360)</f>
        <v>32.255575943272561</v>
      </c>
      <c r="N55" s="31">
        <f t="shared" si="41"/>
        <v>9.7946608741267482E-2</v>
      </c>
      <c r="O55" s="25">
        <f t="shared" si="42"/>
        <v>-5586.6425956898447</v>
      </c>
      <c r="P55" s="32">
        <f t="shared" si="43"/>
        <v>3.5346384422423962</v>
      </c>
      <c r="Q55" s="33">
        <f t="shared" si="44"/>
        <v>2.3600807183619139</v>
      </c>
      <c r="R55" s="33">
        <f t="shared" si="45"/>
        <v>5.8773870122212291</v>
      </c>
      <c r="S55" s="33">
        <f t="shared" si="46"/>
        <v>5.3136767768377817</v>
      </c>
      <c r="T55" s="33">
        <f t="shared" si="47"/>
        <v>5.286575834052198</v>
      </c>
      <c r="U55" s="33">
        <f t="shared" si="48"/>
        <v>-6.4410972476046764</v>
      </c>
      <c r="V55" s="22">
        <f t="shared" si="49"/>
        <v>76.368506114835583</v>
      </c>
      <c r="W55" s="33">
        <f t="shared" si="50"/>
        <v>0.58833188531260228</v>
      </c>
      <c r="X55" s="25">
        <f t="shared" si="51"/>
        <v>33.708933981386899</v>
      </c>
      <c r="Y55" s="33">
        <f t="shared" si="52"/>
        <v>-7.5018409317876733E-2</v>
      </c>
      <c r="Z55" s="33">
        <f t="shared" si="53"/>
        <v>0.82952791783007551</v>
      </c>
      <c r="AA55" s="33">
        <f t="shared" si="54"/>
        <v>0.55341324624492005</v>
      </c>
      <c r="AB55" s="33">
        <f t="shared" si="55"/>
        <v>-7.4948064825980112E-2</v>
      </c>
      <c r="AC55" s="33">
        <f t="shared" si="56"/>
        <v>0.53756633317593383</v>
      </c>
      <c r="AD55" s="33">
        <f t="shared" si="57"/>
        <v>0.15134685651271634</v>
      </c>
      <c r="AE55" s="33">
        <f t="shared" si="58"/>
        <v>0.98848071757810196</v>
      </c>
      <c r="AF55" s="25">
        <f t="shared" si="59"/>
        <v>8.704986927888708</v>
      </c>
      <c r="AG55" s="33">
        <f t="shared" si="60"/>
        <v>2.1963203900580028</v>
      </c>
      <c r="AH55" s="25">
        <f t="shared" si="61"/>
        <v>359.31077009240255</v>
      </c>
      <c r="AI55" s="32">
        <f t="shared" si="62"/>
        <v>0.90576357469278801</v>
      </c>
      <c r="AJ55" s="33">
        <f>ASIN(COS($A$2*input!$D$2)*COS($A$2*AF55)*COS($A$2*AH55)+SIN($A$2*input!$D$2)*SIN($A$2*AF55))/$A$2</f>
        <v>48.700995880904365</v>
      </c>
      <c r="AK55" s="32">
        <f>ASIN((0.9983271+0.0016764*COS($A$2*2*input!$D$2))*COS($A$2*AJ55)*SIN($A$2*AI55))/$A$2</f>
        <v>0.59660550467569684</v>
      </c>
      <c r="AL55" s="32">
        <f t="shared" si="63"/>
        <v>48.104390376228672</v>
      </c>
      <c r="AM55" s="25">
        <f t="shared" si="64"/>
        <v>58.511814824040812</v>
      </c>
      <c r="AN55" s="32">
        <f t="shared" si="65"/>
        <v>59.839913626585577</v>
      </c>
      <c r="AO55" s="32">
        <f t="shared" si="66"/>
        <v>26.45757803587944</v>
      </c>
      <c r="AP55" s="22">
        <f t="shared" si="67"/>
        <v>153.47862536924288</v>
      </c>
      <c r="AQ55" s="51">
        <f t="shared" si="68"/>
        <v>-1.2029041075878752E-2</v>
      </c>
      <c r="AR55" s="51">
        <f>COS($A$2*AH55)*SIN($A$2*input!$D$2) - TAN($A$2*AF55)*COS($A$2*input!$D$2)</f>
        <v>0.66757143455230561</v>
      </c>
      <c r="AS55" s="51">
        <f t="shared" si="69"/>
        <v>358.96769293748463</v>
      </c>
    </row>
    <row r="56" spans="1:45">
      <c r="C56" s="17">
        <f t="shared" si="70"/>
        <v>10.424500000000004</v>
      </c>
      <c r="D56" s="48" t="str">
        <f>caldat!$T$56</f>
        <v>2020  05-21    10:25:28,2</v>
      </c>
      <c r="G56" s="38">
        <f t="shared" si="36"/>
        <v>52.704882296012492</v>
      </c>
      <c r="H56" s="37">
        <f t="shared" si="37"/>
        <v>52.717747208566294</v>
      </c>
      <c r="I56" s="38">
        <f t="shared" si="38"/>
        <v>1.7284896126218641</v>
      </c>
      <c r="J56" s="38">
        <f t="shared" si="39"/>
        <v>181.8308931617803</v>
      </c>
      <c r="K56" s="25">
        <f t="shared" si="71"/>
        <v>2458990.934354072</v>
      </c>
      <c r="L56" s="49">
        <f t="shared" si="40"/>
        <v>0.20385857232229901</v>
      </c>
      <c r="M56" s="25">
        <f>MOD(280.46061837+360.98564736629*(K56-2451545)+0.000387933*L56^2-L56^3/38710000+input!$E$2,360)</f>
        <v>45.893686060793698</v>
      </c>
      <c r="N56" s="31">
        <f t="shared" si="41"/>
        <v>0.13583057010578159</v>
      </c>
      <c r="O56" s="25">
        <f t="shared" si="42"/>
        <v>-9781.6839177367965</v>
      </c>
      <c r="P56" s="32">
        <f t="shared" si="43"/>
        <v>3.7706578842241574</v>
      </c>
      <c r="Q56" s="33">
        <f t="shared" si="44"/>
        <v>2.3778856132606911</v>
      </c>
      <c r="R56" s="33">
        <f t="shared" si="45"/>
        <v>6.0976132160053345</v>
      </c>
      <c r="S56" s="33">
        <f t="shared" si="46"/>
        <v>5.5526653372891737</v>
      </c>
      <c r="T56" s="33">
        <f t="shared" si="47"/>
        <v>5.5050709492086511</v>
      </c>
      <c r="U56" s="33">
        <f t="shared" si="48"/>
        <v>-6.6425610947214953</v>
      </c>
      <c r="V56" s="22">
        <f t="shared" si="49"/>
        <v>165.69748287169597</v>
      </c>
      <c r="W56" s="33">
        <f t="shared" si="50"/>
        <v>0.8060257004783945</v>
      </c>
      <c r="X56" s="25">
        <f t="shared" si="51"/>
        <v>46.181870816487823</v>
      </c>
      <c r="Y56" s="33">
        <f t="shared" si="52"/>
        <v>-6.2221897517974661E-2</v>
      </c>
      <c r="Z56" s="33">
        <f t="shared" si="53"/>
        <v>0.69103166607947164</v>
      </c>
      <c r="AA56" s="33">
        <f t="shared" si="54"/>
        <v>0.72014489215959732</v>
      </c>
      <c r="AB56" s="33">
        <f t="shared" si="55"/>
        <v>-6.218175594072034E-2</v>
      </c>
      <c r="AC56" s="33">
        <f t="shared" si="56"/>
        <v>0.68546508073805434</v>
      </c>
      <c r="AD56" s="33">
        <f t="shared" si="57"/>
        <v>0.22937493229252812</v>
      </c>
      <c r="AE56" s="33">
        <f t="shared" si="58"/>
        <v>0.97333814290605003</v>
      </c>
      <c r="AF56" s="25">
        <f t="shared" si="59"/>
        <v>13.260274201919747</v>
      </c>
      <c r="AG56" s="33">
        <f t="shared" si="60"/>
        <v>2.9845530518714631</v>
      </c>
      <c r="AH56" s="25">
        <f t="shared" si="61"/>
        <v>1.125390282721753</v>
      </c>
      <c r="AI56" s="32">
        <f t="shared" si="62"/>
        <v>0.91071400350767684</v>
      </c>
      <c r="AJ56" s="33">
        <f>ASIN(COS($A$2*input!$D$2)*COS($A$2*AF56)*COS($A$2*AH56)+SIN($A$2*input!$D$2)*SIN($A$2*AF56))/$A$2</f>
        <v>53.24871628029284</v>
      </c>
      <c r="AK56" s="32">
        <f>ASIN((0.9983271+0.0016764*COS($A$2*2*input!$D$2))*COS($A$2*AJ56)*SIN($A$2*AI56))/$A$2</f>
        <v>0.54383398428034968</v>
      </c>
      <c r="AL56" s="32">
        <f t="shared" si="63"/>
        <v>52.704882296012492</v>
      </c>
      <c r="AM56" s="25">
        <f t="shared" si="64"/>
        <v>59.532008897735977</v>
      </c>
      <c r="AN56" s="32">
        <f t="shared" si="65"/>
        <v>60.835738139413891</v>
      </c>
      <c r="AO56" s="32">
        <f t="shared" si="66"/>
        <v>15.072060782835427</v>
      </c>
      <c r="AP56" s="22">
        <f t="shared" si="67"/>
        <v>164.89067220236927</v>
      </c>
      <c r="AQ56" s="51">
        <f t="shared" si="68"/>
        <v>1.9640502865657411E-2</v>
      </c>
      <c r="AR56" s="51">
        <f>COS($A$2*AH56)*SIN($A$2*input!$D$2) - TAN($A$2*AF56)*COS($A$2*input!$D$2)</f>
        <v>0.61441862770550371</v>
      </c>
      <c r="AS56" s="51">
        <f t="shared" si="69"/>
        <v>1.8308931617802955</v>
      </c>
    </row>
    <row r="57" spans="1:45">
      <c r="C57" s="17">
        <f t="shared" si="70"/>
        <v>11.265694444444449</v>
      </c>
      <c r="D57" s="48" t="str">
        <f>caldat!$T$57</f>
        <v>2020  05-22    11:15:56,5</v>
      </c>
      <c r="G57" s="38">
        <f t="shared" si="36"/>
        <v>56.754348033317967</v>
      </c>
      <c r="H57" s="37">
        <f t="shared" si="37"/>
        <v>56.765421384369681</v>
      </c>
      <c r="I57" s="38">
        <f t="shared" si="38"/>
        <v>0.12397937565064576</v>
      </c>
      <c r="J57" s="38">
        <f t="shared" si="39"/>
        <v>184.15711687629641</v>
      </c>
      <c r="K57" s="25">
        <f t="shared" si="71"/>
        <v>2458991.9694038387</v>
      </c>
      <c r="L57" s="49">
        <f t="shared" si="40"/>
        <v>0.20388691044048565</v>
      </c>
      <c r="M57" s="25">
        <f>MOD(280.46061837+360.98564736629*(K57-2451545)+0.000387933*L57^2-L57^3/38710000+input!$E$2,360)</f>
        <v>59.531796178314835</v>
      </c>
      <c r="N57" s="31">
        <f t="shared" si="41"/>
        <v>0.1737145314702957</v>
      </c>
      <c r="O57" s="25">
        <f t="shared" si="42"/>
        <v>-13460.926714913092</v>
      </c>
      <c r="P57" s="32">
        <f t="shared" si="43"/>
        <v>4.006677326205919</v>
      </c>
      <c r="Q57" s="33">
        <f t="shared" si="44"/>
        <v>2.3956905081594684</v>
      </c>
      <c r="R57" s="33">
        <f t="shared" si="45"/>
        <v>3.4654112609852829E-2</v>
      </c>
      <c r="S57" s="33">
        <f t="shared" si="46"/>
        <v>5.7916538977405656</v>
      </c>
      <c r="T57" s="33">
        <f t="shared" si="47"/>
        <v>5.7265111727075029</v>
      </c>
      <c r="U57" s="33">
        <f t="shared" si="48"/>
        <v>5.7223456725208601</v>
      </c>
      <c r="V57" s="22">
        <f t="shared" si="49"/>
        <v>252.10323571549461</v>
      </c>
      <c r="W57" s="33">
        <f t="shared" si="50"/>
        <v>1.0262201774597206</v>
      </c>
      <c r="X57" s="25">
        <f t="shared" si="51"/>
        <v>58.798085019608365</v>
      </c>
      <c r="Y57" s="33">
        <f t="shared" si="52"/>
        <v>-4.6218374862382158E-2</v>
      </c>
      <c r="Z57" s="33">
        <f t="shared" si="53"/>
        <v>0.51750237699862245</v>
      </c>
      <c r="AA57" s="33">
        <f t="shared" si="54"/>
        <v>0.85443353879718009</v>
      </c>
      <c r="AB57" s="33">
        <f t="shared" si="55"/>
        <v>-4.6201921813958671E-2</v>
      </c>
      <c r="AC57" s="33">
        <f t="shared" si="56"/>
        <v>0.8023192333232968</v>
      </c>
      <c r="AD57" s="33">
        <f t="shared" si="57"/>
        <v>0.29744770572369983</v>
      </c>
      <c r="AE57" s="33">
        <f t="shared" si="58"/>
        <v>0.9547381119237397</v>
      </c>
      <c r="AF57" s="25">
        <f t="shared" si="59"/>
        <v>17.30437072354308</v>
      </c>
      <c r="AG57" s="33">
        <f t="shared" si="60"/>
        <v>3.8118438370189898</v>
      </c>
      <c r="AH57" s="25">
        <f t="shared" si="61"/>
        <v>2.3541386230299892</v>
      </c>
      <c r="AI57" s="32">
        <f t="shared" si="62"/>
        <v>0.91706491310420346</v>
      </c>
      <c r="AJ57" s="33">
        <f>ASIN(COS($A$2*input!$D$2)*COS($A$2*AF57)*COS($A$2*AH57)+SIN($A$2*input!$D$2)*SIN($A$2*AF57))/$A$2</f>
        <v>57.249474462434875</v>
      </c>
      <c r="AK57" s="32">
        <f>ASIN((0.9983271+0.0016764*COS($A$2*2*input!$D$2))*COS($A$2*AJ57)*SIN($A$2*AI57))/$A$2</f>
        <v>0.49512642911690496</v>
      </c>
      <c r="AL57" s="32">
        <f t="shared" si="63"/>
        <v>56.754348033317967</v>
      </c>
      <c r="AM57" s="25">
        <f t="shared" si="64"/>
        <v>60.552202971428414</v>
      </c>
      <c r="AN57" s="32">
        <f t="shared" si="65"/>
        <v>61.831167787484738</v>
      </c>
      <c r="AO57" s="32">
        <f t="shared" si="66"/>
        <v>4.0256137858324799</v>
      </c>
      <c r="AP57" s="22">
        <f t="shared" si="67"/>
        <v>175.96431620780405</v>
      </c>
      <c r="AQ57" s="51">
        <f t="shared" si="68"/>
        <v>4.1075910487168327E-2</v>
      </c>
      <c r="AR57" s="51">
        <f>COS($A$2*AH57)*SIN($A$2*input!$D$2) - TAN($A$2*AF57)*COS($A$2*input!$D$2)</f>
        <v>0.56513808540296062</v>
      </c>
      <c r="AS57" s="51">
        <f t="shared" si="69"/>
        <v>4.1571168762964135</v>
      </c>
    </row>
    <row r="58" spans="1:45">
      <c r="C58" s="17">
        <f t="shared" si="70"/>
        <v>12.106888888888895</v>
      </c>
      <c r="D58" s="48" t="str">
        <f>caldat!$T$58</f>
        <v>2020  05-23    12:06:24,8</v>
      </c>
      <c r="G58" s="38">
        <f t="shared" si="36"/>
        <v>60.059563357128937</v>
      </c>
      <c r="H58" s="37">
        <f t="shared" si="37"/>
        <v>60.069292410380605</v>
      </c>
      <c r="I58" s="38">
        <f t="shared" si="38"/>
        <v>0.60548669639712838</v>
      </c>
      <c r="J58" s="38">
        <f t="shared" si="39"/>
        <v>185.4854740659718</v>
      </c>
      <c r="K58" s="25">
        <f t="shared" si="71"/>
        <v>2458993.0044536055</v>
      </c>
      <c r="L58" s="49">
        <f t="shared" si="40"/>
        <v>0.20391524855867232</v>
      </c>
      <c r="M58" s="25">
        <f>MOD(280.46061837+360.98564736629*(K58-2451545)+0.000387933*L58^2-L58^3/38710000+input!$E$2,360)</f>
        <v>73.169906295835972</v>
      </c>
      <c r="N58" s="31">
        <f t="shared" si="41"/>
        <v>0.2115984928348098</v>
      </c>
      <c r="O58" s="25">
        <f t="shared" si="42"/>
        <v>-16511.549278553804</v>
      </c>
      <c r="P58" s="32">
        <f t="shared" si="43"/>
        <v>4.2426967681876802</v>
      </c>
      <c r="Q58" s="33">
        <f t="shared" si="44"/>
        <v>2.4134954030582456</v>
      </c>
      <c r="R58" s="33">
        <f t="shared" si="45"/>
        <v>0.25488031639395764</v>
      </c>
      <c r="S58" s="33">
        <f t="shared" si="46"/>
        <v>6.0306424581923137</v>
      </c>
      <c r="T58" s="33">
        <f t="shared" si="47"/>
        <v>5.9513710575204231</v>
      </c>
      <c r="U58" s="33">
        <f t="shared" si="48"/>
        <v>5.5208818254043983</v>
      </c>
      <c r="V58" s="22">
        <f t="shared" si="49"/>
        <v>332.75373466852983</v>
      </c>
      <c r="W58" s="33">
        <f t="shared" si="50"/>
        <v>1.2494622913354503</v>
      </c>
      <c r="X58" s="25">
        <f t="shared" si="51"/>
        <v>71.588915954266582</v>
      </c>
      <c r="Y58" s="33">
        <f t="shared" si="52"/>
        <v>-2.7635835185874216E-2</v>
      </c>
      <c r="Z58" s="33">
        <f t="shared" si="53"/>
        <v>0.31571199481839207</v>
      </c>
      <c r="AA58" s="33">
        <f t="shared" si="54"/>
        <v>0.94845263000014346</v>
      </c>
      <c r="AB58" s="33">
        <f t="shared" si="55"/>
        <v>-2.7632317557569785E-2</v>
      </c>
      <c r="AC58" s="33">
        <f t="shared" si="56"/>
        <v>0.88119601139905479</v>
      </c>
      <c r="AD58" s="33">
        <f t="shared" si="57"/>
        <v>0.35187998781145297</v>
      </c>
      <c r="AE58" s="33">
        <f t="shared" si="58"/>
        <v>0.93604512400728401</v>
      </c>
      <c r="AF58" s="25">
        <f t="shared" si="59"/>
        <v>20.602346755758695</v>
      </c>
      <c r="AG58" s="33">
        <f t="shared" si="60"/>
        <v>4.6859054261670234</v>
      </c>
      <c r="AH58" s="25">
        <f t="shared" si="61"/>
        <v>2.8813249033306221</v>
      </c>
      <c r="AI58" s="32">
        <f t="shared" si="62"/>
        <v>0.92444982926430452</v>
      </c>
      <c r="AJ58" s="33">
        <f>ASIN(COS($A$2*input!$D$2)*COS($A$2*AF58)*COS($A$2*AH58)+SIN($A$2*input!$D$2)*SIN($A$2*AF58))/$A$2</f>
        <v>60.51368343747486</v>
      </c>
      <c r="AK58" s="32">
        <f>ASIN((0.9983271+0.0016764*COS($A$2*2*input!$D$2))*COS($A$2*AJ58)*SIN($A$2*AI58))/$A$2</f>
        <v>0.45412008034592538</v>
      </c>
      <c r="AL58" s="32">
        <f t="shared" si="63"/>
        <v>60.059563357128937</v>
      </c>
      <c r="AM58" s="25">
        <f t="shared" si="64"/>
        <v>61.57239704512358</v>
      </c>
      <c r="AN58" s="32">
        <f t="shared" si="65"/>
        <v>62.826210354862816</v>
      </c>
      <c r="AO58" s="32">
        <f t="shared" si="66"/>
        <v>8.9035183201122923</v>
      </c>
      <c r="AP58" s="22">
        <f t="shared" si="67"/>
        <v>171.07426121492989</v>
      </c>
      <c r="AQ58" s="51">
        <f t="shared" si="68"/>
        <v>5.0267412885203068E-2</v>
      </c>
      <c r="AR58" s="51">
        <f>COS($A$2*AH58)*SIN($A$2*input!$D$2) - TAN($A$2*AF58)*COS($A$2*input!$D$2)</f>
        <v>0.52343797924860658</v>
      </c>
      <c r="AS58" s="51">
        <f t="shared" si="69"/>
        <v>5.4854740659718004</v>
      </c>
    </row>
    <row r="59" spans="1:45">
      <c r="C59" s="17">
        <f t="shared" si="70"/>
        <v>12.94808333333334</v>
      </c>
      <c r="D59" s="48" t="str">
        <f>caldat!$T$59</f>
        <v>2020  05-24    12:56:53,1</v>
      </c>
      <c r="G59" s="38">
        <f t="shared" si="36"/>
        <v>62.400838179097754</v>
      </c>
      <c r="H59" s="37">
        <f t="shared" si="37"/>
        <v>62.40966768866074</v>
      </c>
      <c r="I59" s="38">
        <f t="shared" si="38"/>
        <v>3.2630269726239227</v>
      </c>
      <c r="J59" s="38">
        <f t="shared" si="39"/>
        <v>185.43921523002354</v>
      </c>
      <c r="K59" s="25">
        <f t="shared" si="71"/>
        <v>2458994.0395033723</v>
      </c>
      <c r="L59" s="49">
        <f t="shared" si="40"/>
        <v>0.203943586676859</v>
      </c>
      <c r="M59" s="25">
        <f>MOD(280.46061837+360.98564736629*(K59-2451545)+0.000387933*L59^2-L59^3/38710000+input!$E$2,360)</f>
        <v>86.808016412891448</v>
      </c>
      <c r="N59" s="31">
        <f t="shared" si="41"/>
        <v>0.24948245419932391</v>
      </c>
      <c r="O59" s="25">
        <f t="shared" si="42"/>
        <v>-18841.916391468676</v>
      </c>
      <c r="P59" s="32">
        <f t="shared" si="43"/>
        <v>4.4787162101697984</v>
      </c>
      <c r="Q59" s="33">
        <f t="shared" si="44"/>
        <v>2.4313002979570228</v>
      </c>
      <c r="R59" s="33">
        <f t="shared" si="45"/>
        <v>0.47510652017824107</v>
      </c>
      <c r="S59" s="33">
        <f t="shared" si="46"/>
        <v>6.2696310186437056</v>
      </c>
      <c r="T59" s="33">
        <f t="shared" si="47"/>
        <v>6.1799389276987409</v>
      </c>
      <c r="U59" s="33">
        <f t="shared" si="48"/>
        <v>5.3194179782872233</v>
      </c>
      <c r="V59" s="22">
        <f t="shared" si="49"/>
        <v>404.21477058564574</v>
      </c>
      <c r="W59" s="33">
        <f t="shared" si="50"/>
        <v>1.4761963021752358</v>
      </c>
      <c r="X59" s="25">
        <f t="shared" si="51"/>
        <v>84.579817847459751</v>
      </c>
      <c r="Y59" s="33">
        <f t="shared" si="52"/>
        <v>-7.2940840912102279E-3</v>
      </c>
      <c r="Z59" s="33">
        <f t="shared" si="53"/>
        <v>9.4456476438119594E-2</v>
      </c>
      <c r="AA59" s="33">
        <f t="shared" si="54"/>
        <v>0.99550227088626053</v>
      </c>
      <c r="AB59" s="33">
        <f t="shared" si="55"/>
        <v>-7.2940194127173001E-3</v>
      </c>
      <c r="AC59" s="33">
        <f t="shared" si="56"/>
        <v>0.91627482900758084</v>
      </c>
      <c r="AD59" s="33">
        <f t="shared" si="57"/>
        <v>0.3892536599519949</v>
      </c>
      <c r="AE59" s="33">
        <f t="shared" si="58"/>
        <v>0.92113060323386098</v>
      </c>
      <c r="AF59" s="25">
        <f t="shared" si="59"/>
        <v>22.90806791530785</v>
      </c>
      <c r="AG59" s="33">
        <f t="shared" si="60"/>
        <v>5.6076208010225042</v>
      </c>
      <c r="AH59" s="25">
        <f t="shared" si="61"/>
        <v>2.693704397553887</v>
      </c>
      <c r="AI59" s="32">
        <f t="shared" si="62"/>
        <v>0.9325407690633688</v>
      </c>
      <c r="AJ59" s="33">
        <f>ASIN(COS($A$2*input!$D$2)*COS($A$2*AF59)*COS($A$2*AH59)+SIN($A$2*input!$D$2)*SIN($A$2*AF59))/$A$2</f>
        <v>62.825874711129728</v>
      </c>
      <c r="AK59" s="32">
        <f>ASIN((0.9983271+0.0016764*COS($A$2*2*input!$D$2))*COS($A$2*AJ59)*SIN($A$2*AI59))/$A$2</f>
        <v>0.42503653203197755</v>
      </c>
      <c r="AL59" s="32">
        <f t="shared" si="63"/>
        <v>62.400838179097754</v>
      </c>
      <c r="AM59" s="25">
        <f t="shared" si="64"/>
        <v>62.592591118819655</v>
      </c>
      <c r="AN59" s="32">
        <f t="shared" si="65"/>
        <v>63.820873725953817</v>
      </c>
      <c r="AO59" s="32">
        <f t="shared" si="66"/>
        <v>20.762964821732783</v>
      </c>
      <c r="AP59" s="22">
        <f t="shared" si="67"/>
        <v>159.18609369232459</v>
      </c>
      <c r="AQ59" s="51">
        <f t="shared" si="68"/>
        <v>4.6996693413834056E-2</v>
      </c>
      <c r="AR59" s="51">
        <f>COS($A$2*AH59)*SIN($A$2*input!$D$2) - TAN($A$2*AF59)*COS($A$2*input!$D$2)</f>
        <v>0.49356721256962172</v>
      </c>
      <c r="AS59" s="51">
        <f t="shared" si="69"/>
        <v>5.4392152300235352</v>
      </c>
    </row>
    <row r="60" spans="1:45">
      <c r="C60" s="17">
        <f t="shared" si="70"/>
        <v>13.789277777777786</v>
      </c>
      <c r="D60" s="48" t="str">
        <f>caldat!$T$60</f>
        <v>2020  05-25    13:47:21,4</v>
      </c>
      <c r="G60" s="38">
        <f t="shared" si="36"/>
        <v>63.542277407598441</v>
      </c>
      <c r="H60" s="37">
        <f t="shared" si="37"/>
        <v>63.550682170529498</v>
      </c>
      <c r="I60" s="38">
        <f t="shared" si="38"/>
        <v>8.096383247128708</v>
      </c>
      <c r="J60" s="38">
        <f t="shared" si="39"/>
        <v>183.98309978040646</v>
      </c>
      <c r="K60" s="25">
        <f t="shared" si="71"/>
        <v>2458995.074553139</v>
      </c>
      <c r="L60" s="49">
        <f t="shared" si="40"/>
        <v>0.20397192479504564</v>
      </c>
      <c r="M60" s="25">
        <f>MOD(280.46061837+360.98564736629*(K60-2451545)+0.000387933*L60^2-L60^3/38710000+input!$E$2,360)</f>
        <v>100.44612653087825</v>
      </c>
      <c r="N60" s="31">
        <f t="shared" si="41"/>
        <v>0.28736641556378117</v>
      </c>
      <c r="O60" s="25">
        <f t="shared" si="42"/>
        <v>-20378.103498766122</v>
      </c>
      <c r="P60" s="32">
        <f t="shared" si="43"/>
        <v>4.7147356521512025</v>
      </c>
      <c r="Q60" s="33">
        <f t="shared" si="44"/>
        <v>2.4491051928558001</v>
      </c>
      <c r="R60" s="33">
        <f t="shared" si="45"/>
        <v>0.69533272396216728</v>
      </c>
      <c r="S60" s="33">
        <f t="shared" si="46"/>
        <v>0.22543427191551149</v>
      </c>
      <c r="T60" s="33">
        <f t="shared" si="47"/>
        <v>0.12918337730764951</v>
      </c>
      <c r="U60" s="33">
        <f t="shared" si="48"/>
        <v>-1.165231176008823</v>
      </c>
      <c r="V60" s="22">
        <f t="shared" si="49"/>
        <v>462.6146507987599</v>
      </c>
      <c r="W60" s="33">
        <f t="shared" si="50"/>
        <v>1.7067806063345341</v>
      </c>
      <c r="X60" s="25">
        <f t="shared" si="51"/>
        <v>97.791325297748429</v>
      </c>
      <c r="Y60" s="33">
        <f t="shared" si="52"/>
        <v>1.3809636215442808E-2</v>
      </c>
      <c r="Z60" s="33">
        <f t="shared" si="53"/>
        <v>-0.1355526431781337</v>
      </c>
      <c r="AA60" s="33">
        <f t="shared" si="54"/>
        <v>0.99067390547931722</v>
      </c>
      <c r="AB60" s="33">
        <f t="shared" si="55"/>
        <v>1.3809197289426827E-2</v>
      </c>
      <c r="AC60" s="33">
        <f t="shared" si="56"/>
        <v>0.90345132008192874</v>
      </c>
      <c r="AD60" s="33">
        <f t="shared" si="57"/>
        <v>0.40669545506391108</v>
      </c>
      <c r="AE60" s="33">
        <f t="shared" si="58"/>
        <v>0.91356379461445292</v>
      </c>
      <c r="AF60" s="25">
        <f t="shared" si="59"/>
        <v>23.997416794595651</v>
      </c>
      <c r="AG60" s="33">
        <f t="shared" si="60"/>
        <v>6.568862200706894</v>
      </c>
      <c r="AH60" s="25">
        <f t="shared" si="61"/>
        <v>1.9131935202748309</v>
      </c>
      <c r="AI60" s="32">
        <f t="shared" si="62"/>
        <v>0.94109457813488684</v>
      </c>
      <c r="AJ60" s="33">
        <f>ASIN(COS($A$2*input!$D$2)*COS($A$2*AF60)*COS($A$2*AH60)+SIN($A$2*input!$D$2)*SIN($A$2*AF60))/$A$2</f>
        <v>63.954668664449223</v>
      </c>
      <c r="AK60" s="32">
        <f>ASIN((0.9983271+0.0016764*COS($A$2*2*input!$D$2))*COS($A$2*AJ60)*SIN($A$2*AI60))/$A$2</f>
        <v>0.41239125685077926</v>
      </c>
      <c r="AL60" s="32">
        <f t="shared" si="63"/>
        <v>63.542277407598441</v>
      </c>
      <c r="AM60" s="25">
        <f t="shared" si="64"/>
        <v>63.61278519251573</v>
      </c>
      <c r="AN60" s="32">
        <f t="shared" si="65"/>
        <v>64.815165883163047</v>
      </c>
      <c r="AO60" s="32">
        <f t="shared" si="66"/>
        <v>32.984578780148738</v>
      </c>
      <c r="AP60" s="22">
        <f t="shared" si="67"/>
        <v>146.93711929189101</v>
      </c>
      <c r="AQ60" s="51">
        <f t="shared" si="68"/>
        <v>3.3385321277221595E-2</v>
      </c>
      <c r="AR60" s="51">
        <f>COS($A$2*AH60)*SIN($A$2*input!$D$2) - TAN($A$2*AF60)*COS($A$2*input!$D$2)</f>
        <v>0.47946465732038779</v>
      </c>
      <c r="AS60" s="51">
        <f t="shared" si="69"/>
        <v>3.9830997804064623</v>
      </c>
    </row>
    <row r="61" spans="1:45">
      <c r="C61" s="17">
        <f t="shared" si="70"/>
        <v>14.630472222222231</v>
      </c>
      <c r="D61" s="48" t="str">
        <f>caldat!$T$61</f>
        <v>2020  05-26    14:37:49,7</v>
      </c>
      <c r="G61" s="38">
        <f t="shared" si="36"/>
        <v>63.28727153876833</v>
      </c>
      <c r="H61" s="37">
        <f t="shared" si="37"/>
        <v>63.295770458222989</v>
      </c>
      <c r="I61" s="38">
        <f t="shared" si="38"/>
        <v>14.997028622532117</v>
      </c>
      <c r="J61" s="38">
        <f t="shared" si="39"/>
        <v>181.63095486161774</v>
      </c>
      <c r="K61" s="25">
        <f t="shared" si="71"/>
        <v>2458996.1096029058</v>
      </c>
      <c r="L61" s="49">
        <f t="shared" si="40"/>
        <v>0.20400026291323231</v>
      </c>
      <c r="M61" s="25">
        <f>MOD(280.46061837+360.98564736629*(K61-2451545)+0.000387933*L61^2-L61^3/38710000+input!$E$2,360)</f>
        <v>114.08423664839938</v>
      </c>
      <c r="N61" s="31">
        <f t="shared" si="41"/>
        <v>0.32525037692829528</v>
      </c>
      <c r="O61" s="25">
        <f t="shared" si="42"/>
        <v>-21056.709406855516</v>
      </c>
      <c r="P61" s="32">
        <f t="shared" si="43"/>
        <v>4.9507550941333207</v>
      </c>
      <c r="Q61" s="33">
        <f t="shared" si="44"/>
        <v>2.4669100877545773</v>
      </c>
      <c r="R61" s="33">
        <f t="shared" si="45"/>
        <v>0.91555892774627212</v>
      </c>
      <c r="S61" s="33">
        <f t="shared" si="46"/>
        <v>0.46442283236726045</v>
      </c>
      <c r="T61" s="33">
        <f t="shared" si="47"/>
        <v>0.36557518332177563</v>
      </c>
      <c r="U61" s="33">
        <f t="shared" si="48"/>
        <v>-1.3666950231252839</v>
      </c>
      <c r="V61" s="22">
        <f t="shared" si="49"/>
        <v>503.9815374738854</v>
      </c>
      <c r="W61" s="33">
        <f t="shared" si="50"/>
        <v>1.9415225814745731</v>
      </c>
      <c r="X61" s="25">
        <f t="shared" si="51"/>
        <v>111.24104974783755</v>
      </c>
      <c r="Y61" s="33">
        <f t="shared" si="52"/>
        <v>3.4541190830175844E-2</v>
      </c>
      <c r="Z61" s="33">
        <f t="shared" si="53"/>
        <v>-0.36207634067837446</v>
      </c>
      <c r="AA61" s="33">
        <f t="shared" si="54"/>
        <v>0.93150850993026646</v>
      </c>
      <c r="AB61" s="33">
        <f t="shared" si="55"/>
        <v>3.453432275942904E-2</v>
      </c>
      <c r="AC61" s="33">
        <f t="shared" si="56"/>
        <v>0.84092394362089296</v>
      </c>
      <c r="AD61" s="33">
        <f t="shared" si="57"/>
        <v>0.40217862271140553</v>
      </c>
      <c r="AE61" s="33">
        <f t="shared" si="58"/>
        <v>0.91556122429576325</v>
      </c>
      <c r="AF61" s="25">
        <f t="shared" si="59"/>
        <v>23.714445535817983</v>
      </c>
      <c r="AG61" s="33">
        <f t="shared" si="60"/>
        <v>7.5530163490484803</v>
      </c>
      <c r="AH61" s="25">
        <f t="shared" si="61"/>
        <v>0.78899141267217487</v>
      </c>
      <c r="AI61" s="32">
        <f t="shared" si="62"/>
        <v>0.9499717004776751</v>
      </c>
      <c r="AJ61" s="33">
        <f>ASIN(COS($A$2*input!$D$2)*COS($A$2*AF61)*COS($A$2*AH61)+SIN($A$2*input!$D$2)*SIN($A$2*AF61))/$A$2</f>
        <v>63.707227273311915</v>
      </c>
      <c r="AK61" s="32">
        <f>ASIN((0.9983271+0.0016764*COS($A$2*2*input!$D$2))*COS($A$2*AJ61)*SIN($A$2*AI61))/$A$2</f>
        <v>0.41995573454358298</v>
      </c>
      <c r="AL61" s="32">
        <f t="shared" si="63"/>
        <v>63.28727153876833</v>
      </c>
      <c r="AM61" s="25">
        <f t="shared" si="64"/>
        <v>64.632979266211805</v>
      </c>
      <c r="AN61" s="32">
        <f t="shared" si="65"/>
        <v>65.809094904540089</v>
      </c>
      <c r="AO61" s="32">
        <f t="shared" si="66"/>
        <v>45.465609866984501</v>
      </c>
      <c r="AP61" s="22">
        <f t="shared" si="67"/>
        <v>134.43177207582096</v>
      </c>
      <c r="AQ61" s="51">
        <f t="shared" si="68"/>
        <v>1.3770062716403766E-2</v>
      </c>
      <c r="AR61" s="51">
        <f>COS($A$2*AH61)*SIN($A$2*input!$D$2) - TAN($A$2*AF61)*COS($A$2*input!$D$2)</f>
        <v>0.48361446906215066</v>
      </c>
      <c r="AS61" s="51">
        <f t="shared" si="69"/>
        <v>1.6309548616177381</v>
      </c>
    </row>
    <row r="62" spans="1:45">
      <c r="C62" s="17">
        <f t="shared" si="70"/>
        <v>15.471666666666676</v>
      </c>
      <c r="D62" s="48" t="str">
        <f>caldat!$T$62</f>
        <v>2020  05-27    15:28:18</v>
      </c>
      <c r="G62" s="38">
        <f t="shared" si="36"/>
        <v>61.56048423541035</v>
      </c>
      <c r="H62" s="37">
        <f t="shared" si="37"/>
        <v>61.569632061619664</v>
      </c>
      <c r="I62" s="38">
        <f t="shared" si="38"/>
        <v>23.738801050614683</v>
      </c>
      <c r="J62" s="38">
        <f t="shared" si="39"/>
        <v>179.26749335118308</v>
      </c>
      <c r="K62" s="25">
        <f t="shared" si="71"/>
        <v>2458997.1446526726</v>
      </c>
      <c r="L62" s="49">
        <f t="shared" si="40"/>
        <v>0.20402860103141895</v>
      </c>
      <c r="M62" s="25">
        <f>MOD(280.46061837+360.98564736629*(K62-2451545)+0.000387933*L62^2-L62^3/38710000+input!$E$2,360)</f>
        <v>127.72234676545486</v>
      </c>
      <c r="N62" s="31">
        <f t="shared" si="41"/>
        <v>0.36313433829280939</v>
      </c>
      <c r="O62" s="25">
        <f t="shared" si="42"/>
        <v>-20817.928181835381</v>
      </c>
      <c r="P62" s="32">
        <f t="shared" si="43"/>
        <v>5.1867745361147248</v>
      </c>
      <c r="Q62" s="33">
        <f t="shared" si="44"/>
        <v>2.4847149826533546</v>
      </c>
      <c r="R62" s="33">
        <f t="shared" si="45"/>
        <v>1.1357851315303771</v>
      </c>
      <c r="S62" s="33">
        <f t="shared" si="46"/>
        <v>0.70341139281865217</v>
      </c>
      <c r="T62" s="33">
        <f t="shared" si="47"/>
        <v>0.6060554997903429</v>
      </c>
      <c r="U62" s="33">
        <f t="shared" si="48"/>
        <v>-1.5681588702421019</v>
      </c>
      <c r="V62" s="22">
        <f t="shared" si="49"/>
        <v>524.70538804020794</v>
      </c>
      <c r="W62" s="33">
        <f t="shared" si="50"/>
        <v>2.1807121749446656</v>
      </c>
      <c r="X62" s="25">
        <f t="shared" si="51"/>
        <v>124.94560395712377</v>
      </c>
      <c r="Y62" s="33">
        <f t="shared" si="52"/>
        <v>5.3689485504025906E-2</v>
      </c>
      <c r="Z62" s="33">
        <f t="shared" si="53"/>
        <v>-0.57197311822491015</v>
      </c>
      <c r="AA62" s="33">
        <f t="shared" si="54"/>
        <v>0.81851509444182657</v>
      </c>
      <c r="AB62" s="33">
        <f t="shared" si="55"/>
        <v>5.3663695353195755E-2</v>
      </c>
      <c r="AC62" s="33">
        <f t="shared" si="56"/>
        <v>0.72964402269984929</v>
      </c>
      <c r="AD62" s="33">
        <f t="shared" si="57"/>
        <v>0.37478840986142387</v>
      </c>
      <c r="AE62" s="33">
        <f t="shared" si="58"/>
        <v>0.92711037521621198</v>
      </c>
      <c r="AF62" s="25">
        <f t="shared" si="59"/>
        <v>22.011235881310739</v>
      </c>
      <c r="AG62" s="33">
        <f t="shared" si="60"/>
        <v>8.5395432550292938</v>
      </c>
      <c r="AH62" s="25">
        <f t="shared" si="61"/>
        <v>359.62919794001544</v>
      </c>
      <c r="AI62" s="32">
        <f t="shared" si="62"/>
        <v>0.95910396931345754</v>
      </c>
      <c r="AJ62" s="33">
        <f>ASIN(COS($A$2*input!$D$2)*COS($A$2*AF62)*COS($A$2*AH62)+SIN($A$2*input!$D$2)*SIN($A$2*AF62))/$A$2</f>
        <v>62.009712287753551</v>
      </c>
      <c r="AK62" s="32">
        <f>ASIN((0.9983271+0.0016764*COS($A$2*2*input!$D$2))*COS($A$2*AJ62)*SIN($A$2*AI62))/$A$2</f>
        <v>0.44922805234320479</v>
      </c>
      <c r="AL62" s="32">
        <f t="shared" si="63"/>
        <v>61.56048423541035</v>
      </c>
      <c r="AM62" s="25">
        <f t="shared" si="64"/>
        <v>65.65317333990788</v>
      </c>
      <c r="AN62" s="32">
        <f t="shared" si="65"/>
        <v>66.802668961417595</v>
      </c>
      <c r="AO62" s="32">
        <f t="shared" si="66"/>
        <v>58.194223674012967</v>
      </c>
      <c r="AP62" s="22">
        <f t="shared" si="67"/>
        <v>121.68332263204336</v>
      </c>
      <c r="AQ62" s="51">
        <f t="shared" si="68"/>
        <v>-6.4716716440554366E-3</v>
      </c>
      <c r="AR62" s="51">
        <f>COS($A$2*AH62)*SIN($A$2*input!$D$2) - TAN($A$2*AF62)*COS($A$2*input!$D$2)</f>
        <v>0.50617870829459832</v>
      </c>
      <c r="AS62" s="51">
        <f t="shared" si="69"/>
        <v>359.26749335118308</v>
      </c>
    </row>
    <row r="63" spans="1:45">
      <c r="C63" s="17">
        <f t="shared" si="70"/>
        <v>16.312861111111122</v>
      </c>
      <c r="D63" s="48" t="str">
        <f>caldat!$T$63</f>
        <v>2020  05-28    16:18:46,3</v>
      </c>
      <c r="G63" s="38">
        <f t="shared" si="36"/>
        <v>58.444452509963206</v>
      </c>
      <c r="H63" s="37">
        <f t="shared" si="37"/>
        <v>58.454826699865336</v>
      </c>
      <c r="I63" s="38">
        <f t="shared" si="38"/>
        <v>33.977039289788721</v>
      </c>
      <c r="J63" s="38">
        <f t="shared" si="39"/>
        <v>177.60987631426451</v>
      </c>
      <c r="K63" s="25">
        <f t="shared" si="71"/>
        <v>2458998.1797024393</v>
      </c>
      <c r="L63" s="49">
        <f t="shared" si="40"/>
        <v>0.20405693914960563</v>
      </c>
      <c r="M63" s="25">
        <f>MOD(280.46061837+360.98564736629*(K63-2451545)+0.000387933*L63^2-L63^3/38710000+input!$E$2,360)</f>
        <v>141.360456882976</v>
      </c>
      <c r="N63" s="31">
        <f t="shared" si="41"/>
        <v>0.4010182996573235</v>
      </c>
      <c r="O63" s="25">
        <f t="shared" si="42"/>
        <v>-19605.279257527138</v>
      </c>
      <c r="P63" s="32">
        <f t="shared" si="43"/>
        <v>5.422793978096843</v>
      </c>
      <c r="Q63" s="33">
        <f t="shared" si="44"/>
        <v>2.5025198775521318</v>
      </c>
      <c r="R63" s="33">
        <f t="shared" si="45"/>
        <v>1.3560113353144818</v>
      </c>
      <c r="S63" s="33">
        <f t="shared" si="46"/>
        <v>0.942399953270044</v>
      </c>
      <c r="T63" s="33">
        <f t="shared" si="47"/>
        <v>0.85081504228429528</v>
      </c>
      <c r="U63" s="33">
        <f t="shared" si="48"/>
        <v>-1.7696227173589196</v>
      </c>
      <c r="V63" s="22">
        <f t="shared" si="49"/>
        <v>522.04861735534973</v>
      </c>
      <c r="W63" s="33">
        <f t="shared" si="50"/>
        <v>2.4246232122568139</v>
      </c>
      <c r="X63" s="25">
        <f t="shared" si="51"/>
        <v>138.92067697176782</v>
      </c>
      <c r="Y63" s="33">
        <f t="shared" si="52"/>
        <v>7.0034823364340235E-2</v>
      </c>
      <c r="Z63" s="33">
        <f t="shared" si="53"/>
        <v>-0.75195268374749646</v>
      </c>
      <c r="AA63" s="33">
        <f t="shared" si="54"/>
        <v>0.65549240952869592</v>
      </c>
      <c r="AB63" s="33">
        <f t="shared" si="55"/>
        <v>6.9977585377046847E-2</v>
      </c>
      <c r="AC63" s="33">
        <f t="shared" si="56"/>
        <v>0.57358204103041344</v>
      </c>
      <c r="AD63" s="33">
        <f t="shared" si="57"/>
        <v>0.32491661024380164</v>
      </c>
      <c r="AE63" s="33">
        <f t="shared" si="58"/>
        <v>0.94574266922227712</v>
      </c>
      <c r="AF63" s="25">
        <f t="shared" si="59"/>
        <v>18.960522923824723</v>
      </c>
      <c r="AG63" s="33">
        <f t="shared" si="60"/>
        <v>9.5109314301051739</v>
      </c>
      <c r="AH63" s="25">
        <f t="shared" si="61"/>
        <v>358.6964854313984</v>
      </c>
      <c r="AI63" s="32">
        <f t="shared" si="62"/>
        <v>0.96840937603589139</v>
      </c>
      <c r="AJ63" s="33">
        <f>ASIN(COS($A$2*input!$D$2)*COS($A$2*AF63)*COS($A$2*AH63)+SIN($A$2*input!$D$2)*SIN($A$2*AF63))/$A$2</f>
        <v>58.943046446156451</v>
      </c>
      <c r="AK63" s="32">
        <f>ASIN((0.9983271+0.0016764*COS($A$2*2*input!$D$2))*COS($A$2*AJ63)*SIN($A$2*AI63))/$A$2</f>
        <v>0.4985939361932471</v>
      </c>
      <c r="AL63" s="32">
        <f t="shared" si="63"/>
        <v>58.444452509963206</v>
      </c>
      <c r="AM63" s="25">
        <f t="shared" si="64"/>
        <v>66.673367413604865</v>
      </c>
      <c r="AN63" s="32">
        <f t="shared" si="65"/>
        <v>67.795896316046779</v>
      </c>
      <c r="AO63" s="32">
        <f t="shared" si="66"/>
        <v>71.172795081768456</v>
      </c>
      <c r="AP63" s="22">
        <f t="shared" si="67"/>
        <v>108.69069847971016</v>
      </c>
      <c r="AQ63" s="51">
        <f t="shared" si="68"/>
        <v>-2.2748658535396604E-2</v>
      </c>
      <c r="AR63" s="51">
        <f>COS($A$2*AH63)*SIN($A$2*input!$D$2) - TAN($A$2*AF63)*COS($A$2*input!$D$2)</f>
        <v>0.54501195481557851</v>
      </c>
      <c r="AS63" s="51">
        <f t="shared" si="69"/>
        <v>357.60987631426451</v>
      </c>
    </row>
    <row r="67" spans="7:11">
      <c r="G67" s="57" t="s">
        <v>56</v>
      </c>
      <c r="H67" s="37">
        <f>MAX(H2:H50)</f>
        <v>63.444536090895213</v>
      </c>
      <c r="I67" s="38" t="s">
        <v>56</v>
      </c>
      <c r="J67" s="39">
        <f>MAX(J2:J50)</f>
        <v>189.78060842918586</v>
      </c>
      <c r="K67" s="29">
        <f>K32-K2</f>
        <v>31.051493003033102</v>
      </c>
    </row>
    <row r="68" spans="7:11">
      <c r="G68" s="57" t="s">
        <v>57</v>
      </c>
      <c r="H68" s="37">
        <f>MIN(H2:H50)</f>
        <v>14.550392223728259</v>
      </c>
      <c r="I68" s="38" t="s">
        <v>57</v>
      </c>
      <c r="J68" s="39">
        <f>MIN(J2:J50)</f>
        <v>167.26322296724885</v>
      </c>
    </row>
    <row r="69" spans="7:11">
      <c r="I69" s="27" t="s">
        <v>58</v>
      </c>
      <c r="J69" s="28">
        <f>ABS(J67-J68)</f>
        <v>22.51738546193701</v>
      </c>
    </row>
  </sheetData>
  <mergeCells count="31"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32:F32"/>
    <mergeCell ref="D27:F27"/>
    <mergeCell ref="D28:F28"/>
    <mergeCell ref="D29:F29"/>
    <mergeCell ref="D30:F30"/>
    <mergeCell ref="D31:F31"/>
  </mergeCells>
  <pageMargins left="0" right="0" top="0" bottom="0" header="0.511811023622047" footer="0.511811023622047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74"/>
  <sheetViews>
    <sheetView zoomScale="81" zoomScaleNormal="81" workbookViewId="0">
      <selection activeCell="M2" sqref="M2"/>
    </sheetView>
  </sheetViews>
  <sheetFormatPr baseColWidth="10" defaultColWidth="9.6640625" defaultRowHeight="16"/>
  <cols>
    <col min="1" max="1" width="7.83203125" style="1" customWidth="1"/>
    <col min="2" max="2" width="9.6640625" style="1"/>
    <col min="3" max="3" width="9.5" style="1" customWidth="1"/>
    <col min="4" max="4" width="7.33203125" style="1" customWidth="1"/>
    <col min="5" max="5" width="8.33203125" style="1" customWidth="1"/>
    <col min="6" max="6" width="8.33203125" style="58" customWidth="1"/>
    <col min="7" max="7" width="9.1640625" style="8" customWidth="1"/>
    <col min="8" max="8" width="8.1640625" style="59" customWidth="1"/>
    <col min="9" max="9" width="9" style="58" customWidth="1"/>
    <col min="10" max="10" width="13.6640625" style="2" customWidth="1"/>
    <col min="11" max="11" width="7.83203125" style="7" customWidth="1"/>
    <col min="12" max="12" width="21.33203125" customWidth="1"/>
    <col min="13" max="13" width="9" customWidth="1"/>
    <col min="14" max="14" width="7" customWidth="1"/>
    <col min="15" max="15" width="7.5" customWidth="1"/>
    <col min="16" max="64" width="9.5" style="1"/>
  </cols>
  <sheetData>
    <row r="1" spans="1:64">
      <c r="A1" s="2" t="str">
        <f>calc!$A$4</f>
        <v>Date</v>
      </c>
      <c r="B1" s="2" t="str">
        <f>calc!$A$6</f>
        <v>Month</v>
      </c>
      <c r="C1" s="2" t="str">
        <f>calc!$A$8</f>
        <v>Year</v>
      </c>
      <c r="D1" s="2" t="str">
        <f>input!$D$1</f>
        <v>Lat.</v>
      </c>
      <c r="E1" s="2" t="str">
        <f>input!$E$1</f>
        <v>Long.</v>
      </c>
      <c r="F1" s="2" t="str">
        <f>calc!$C$1</f>
        <v>UT</v>
      </c>
      <c r="G1" s="2" t="str">
        <f>calc!$H$1</f>
        <v>elevRefr</v>
      </c>
      <c r="H1" s="60" t="str">
        <f>calc!$J$1</f>
        <v>az</v>
      </c>
      <c r="I1" s="61" t="str">
        <f>calc!$I$1</f>
        <v>ill frac/%</v>
      </c>
      <c r="J1" s="18" t="s">
        <v>19</v>
      </c>
      <c r="K1" s="62" t="s">
        <v>59</v>
      </c>
      <c r="L1" s="63" t="s">
        <v>60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>
      <c r="A2" s="8">
        <f>calc!$A$5</f>
        <v>26</v>
      </c>
      <c r="B2" s="8">
        <f>calc!$A$7</f>
        <v>3</v>
      </c>
      <c r="C2" s="8">
        <f>calc!$A$9</f>
        <v>2020</v>
      </c>
      <c r="D2" s="4">
        <f>input!$D$2</f>
        <v>50</v>
      </c>
      <c r="E2" s="4">
        <f>input!$E$2</f>
        <v>10</v>
      </c>
      <c r="F2" s="35">
        <f>calc!$C$2</f>
        <v>13</v>
      </c>
      <c r="G2" s="47">
        <f>calc!$H$2</f>
        <v>46.586159553269994</v>
      </c>
      <c r="H2" s="64">
        <f>calc!$J$2</f>
        <v>180.32002311537519</v>
      </c>
      <c r="I2" s="51">
        <f>calc!$I$2</f>
        <v>4.260611662721109</v>
      </c>
      <c r="J2" s="32">
        <f>calc!$K$2</f>
        <v>2458935.0416666665</v>
      </c>
      <c r="K2" s="7">
        <v>0</v>
      </c>
      <c r="L2" t="str">
        <f>caldat!$T$2</f>
        <v>2020  03-26    12:59:60</v>
      </c>
      <c r="M2" t="str">
        <f t="shared" ref="M2:M32" si="0">IF(I2&gt;99,"Vollmond","")</f>
        <v/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>
      <c r="C3" s="9" t="str">
        <f>input!$C$3</f>
        <v>leap year</v>
      </c>
      <c r="F3" s="35">
        <f>calc!$C$3</f>
        <v>13.841194444444445</v>
      </c>
      <c r="G3" s="47">
        <f>calc!$H$3</f>
        <v>51.155070437167197</v>
      </c>
      <c r="H3" s="64">
        <f>calc!$J$3</f>
        <v>183.54859671035501</v>
      </c>
      <c r="I3" s="51">
        <f>calc!$I$3</f>
        <v>9.0219878205065989</v>
      </c>
      <c r="J3" s="25">
        <f>calc!$K$3</f>
        <v>2458936.0767164333</v>
      </c>
      <c r="K3" s="7">
        <f t="shared" ref="K3:K34" si="1">J3-$J$2</f>
        <v>1.0350497667677701</v>
      </c>
      <c r="L3" t="str">
        <f>caldat!$T$3</f>
        <v>2020  03-27    13:50:28,3</v>
      </c>
      <c r="M3" t="str">
        <f t="shared" si="0"/>
        <v/>
      </c>
    </row>
    <row r="4" spans="1:64">
      <c r="A4" s="54" t="s">
        <v>61</v>
      </c>
      <c r="C4"/>
      <c r="F4" s="35">
        <f>calc!$C$4</f>
        <v>14.682388888888891</v>
      </c>
      <c r="G4" s="47">
        <f>calc!$H$4</f>
        <v>55.222071777594643</v>
      </c>
      <c r="H4" s="64">
        <f>calc!$J$4</f>
        <v>186.51301956798125</v>
      </c>
      <c r="I4" s="51">
        <f>calc!$I$4</f>
        <v>15.4377739115303</v>
      </c>
      <c r="J4" s="25">
        <f>calc!$K$4</f>
        <v>2458937.1117662</v>
      </c>
      <c r="K4" s="7">
        <f t="shared" si="1"/>
        <v>2.0700995335355401</v>
      </c>
      <c r="L4" t="str">
        <f>caldat!$T$4</f>
        <v>2020  03-28    14:40:56,6</v>
      </c>
      <c r="M4" t="str">
        <f t="shared" si="0"/>
        <v/>
      </c>
    </row>
    <row r="5" spans="1:64" ht="17">
      <c r="A5" s="65" t="s">
        <v>62</v>
      </c>
      <c r="F5" s="35">
        <f>calc!$C$5</f>
        <v>15.523583333333336</v>
      </c>
      <c r="G5" s="47">
        <f>calc!$H$5</f>
        <v>58.63072590063453</v>
      </c>
      <c r="H5" s="64">
        <f>calc!$J$5</f>
        <v>188.75936624232327</v>
      </c>
      <c r="I5" s="51">
        <f>calc!$I$5</f>
        <v>23.332753960237234</v>
      </c>
      <c r="J5" s="25">
        <f>calc!$K$5</f>
        <v>2458938.1468159668</v>
      </c>
      <c r="K5" s="7">
        <f t="shared" si="1"/>
        <v>3.1051493003033102</v>
      </c>
      <c r="L5" t="str">
        <f>caldat!$T$5</f>
        <v>2020  03-29    15:31:24,9</v>
      </c>
      <c r="M5" t="str">
        <f t="shared" si="0"/>
        <v/>
      </c>
    </row>
    <row r="6" spans="1:64">
      <c r="F6" s="35">
        <f>calc!$C$6</f>
        <v>16.364777777777782</v>
      </c>
      <c r="G6" s="47">
        <f>calc!$H$6</f>
        <v>61.214018842797415</v>
      </c>
      <c r="H6" s="64">
        <f>calc!$J$6</f>
        <v>189.78060842918586</v>
      </c>
      <c r="I6" s="51">
        <f>calc!$I$6</f>
        <v>32.492336627047735</v>
      </c>
      <c r="J6" s="25">
        <f>calc!$K$6</f>
        <v>2458939.1818657336</v>
      </c>
      <c r="K6" s="7">
        <f t="shared" si="1"/>
        <v>4.1401990670710802</v>
      </c>
      <c r="L6" t="str">
        <f>caldat!$T$6</f>
        <v>2020  03-30    16:21:53,2</v>
      </c>
      <c r="M6" t="str">
        <f t="shared" si="0"/>
        <v/>
      </c>
    </row>
    <row r="7" spans="1:64">
      <c r="F7" s="35">
        <f>calc!$C$7</f>
        <v>17.205972222222226</v>
      </c>
      <c r="G7" s="47">
        <f>calc!$H$7</f>
        <v>62.771133710177409</v>
      </c>
      <c r="H7" s="64">
        <f>calc!$J$7</f>
        <v>189.19037883214651</v>
      </c>
      <c r="I7" s="51">
        <f>calc!$I$7</f>
        <v>42.651815041788936</v>
      </c>
      <c r="J7" s="25">
        <f>calc!$K$7</f>
        <v>2458940.2169155004</v>
      </c>
      <c r="K7" s="7">
        <f t="shared" si="1"/>
        <v>5.1752488338388503</v>
      </c>
      <c r="L7" t="str">
        <f>caldat!$T$7</f>
        <v>2020  03-31    17:12:21,5</v>
      </c>
      <c r="M7" t="str">
        <f t="shared" si="0"/>
        <v/>
      </c>
    </row>
    <row r="8" spans="1:64">
      <c r="F8" s="35">
        <f>calc!$C$8</f>
        <v>18.047166666666669</v>
      </c>
      <c r="G8" s="47">
        <f>calc!$H$8</f>
        <v>63.067272121959071</v>
      </c>
      <c r="H8" s="64">
        <f>calc!$J$8</f>
        <v>187.01136348762321</v>
      </c>
      <c r="I8" s="51">
        <f>calc!$I$8</f>
        <v>53.471271803311851</v>
      </c>
      <c r="J8" s="25">
        <f>calc!$K$8</f>
        <v>2458941.2519652671</v>
      </c>
      <c r="K8" s="7">
        <f t="shared" si="1"/>
        <v>6.2102986006066203</v>
      </c>
      <c r="L8" t="str">
        <f>caldat!$T$8</f>
        <v>2020  04-01    18:02:49,8</v>
      </c>
      <c r="M8" t="str">
        <f t="shared" si="0"/>
        <v/>
      </c>
    </row>
    <row r="9" spans="1:64">
      <c r="F9" s="35">
        <f>calc!$C$9</f>
        <v>18.888361111111113</v>
      </c>
      <c r="G9" s="47">
        <f>calc!$H$9</f>
        <v>61.892140394452973</v>
      </c>
      <c r="H9" s="64">
        <f>calc!$J$9</f>
        <v>183.85860002793061</v>
      </c>
      <c r="I9" s="51">
        <f>calc!$I$9</f>
        <v>64.502000981634339</v>
      </c>
      <c r="J9" s="25">
        <f>calc!$K$9</f>
        <v>2458942.2870150339</v>
      </c>
      <c r="K9" s="7">
        <f t="shared" si="1"/>
        <v>7.2453483673743904</v>
      </c>
      <c r="L9" t="str">
        <f>caldat!$T$9</f>
        <v>2020  04-02    18:53:18,1</v>
      </c>
      <c r="M9" t="str">
        <f t="shared" si="0"/>
        <v/>
      </c>
    </row>
    <row r="10" spans="1:64">
      <c r="F10" s="35">
        <f>calc!$C$10</f>
        <v>19.729555555555557</v>
      </c>
      <c r="G10" s="47">
        <f>calc!$H$10</f>
        <v>59.163313054658886</v>
      </c>
      <c r="H10" s="64">
        <f>calc!$J$10</f>
        <v>180.68008057037616</v>
      </c>
      <c r="I10" s="51">
        <f>calc!$I$10</f>
        <v>75.161849349546927</v>
      </c>
      <c r="J10" s="25">
        <f>calc!$K$10</f>
        <v>2458943.3220648007</v>
      </c>
      <c r="K10" s="7">
        <f t="shared" si="1"/>
        <v>8.2803981341421604</v>
      </c>
      <c r="L10" t="str">
        <f>caldat!$T$10</f>
        <v>2020  04-03    19:43:46,4</v>
      </c>
      <c r="M10" t="str">
        <f t="shared" si="0"/>
        <v/>
      </c>
    </row>
    <row r="11" spans="1:64">
      <c r="F11" s="35">
        <f>calc!$C$11</f>
        <v>20.57075</v>
      </c>
      <c r="G11" s="47">
        <f>calc!$H$11</f>
        <v>54.990434146296117</v>
      </c>
      <c r="H11" s="64">
        <f>calc!$J$11</f>
        <v>178.18722453189093</v>
      </c>
      <c r="I11" s="51">
        <f>calc!$I$11</f>
        <v>84.744547632822133</v>
      </c>
      <c r="J11" s="25">
        <f>calc!$K$11</f>
        <v>2458944.3571145674</v>
      </c>
      <c r="K11" s="7">
        <f t="shared" si="1"/>
        <v>9.3154479009099305</v>
      </c>
      <c r="L11" t="str">
        <f>caldat!$T$11</f>
        <v>2020  04-04    20:34:14,7</v>
      </c>
      <c r="M11" t="str">
        <f t="shared" si="0"/>
        <v/>
      </c>
    </row>
    <row r="12" spans="1:64">
      <c r="F12" s="35">
        <f>calc!$C$12</f>
        <v>21.411944444444444</v>
      </c>
      <c r="G12" s="47">
        <f>calc!$H$12</f>
        <v>49.653797307909109</v>
      </c>
      <c r="H12" s="64">
        <f>calc!$J$12</f>
        <v>176.56241252853619</v>
      </c>
      <c r="I12" s="51">
        <f>calc!$I$12</f>
        <v>92.483314640254207</v>
      </c>
      <c r="J12" s="25">
        <f>calc!$K$12</f>
        <v>2458945.3921643342</v>
      </c>
      <c r="K12" s="7">
        <f t="shared" si="1"/>
        <v>10.350497667677701</v>
      </c>
      <c r="L12" t="str">
        <f>caldat!$T$12</f>
        <v>2020  04-05    21:24:43</v>
      </c>
      <c r="M12" t="str">
        <f t="shared" si="0"/>
        <v/>
      </c>
    </row>
    <row r="13" spans="1:64">
      <c r="F13" s="35">
        <f>calc!$C$13</f>
        <v>22.253138888888888</v>
      </c>
      <c r="G13" s="47">
        <f>calc!$H$13</f>
        <v>43.543669552669542</v>
      </c>
      <c r="H13" s="64">
        <f>calc!$J$13</f>
        <v>175.5979843604992</v>
      </c>
      <c r="I13" s="51">
        <f>calc!$I$13</f>
        <v>97.668224066067751</v>
      </c>
      <c r="J13" s="25">
        <f>calc!$K$13</f>
        <v>2458946.427214101</v>
      </c>
      <c r="K13" s="7">
        <f t="shared" si="1"/>
        <v>11.385547434445471</v>
      </c>
      <c r="L13" t="str">
        <f>caldat!$T$13</f>
        <v>2020  04-06    22:15:11,3</v>
      </c>
      <c r="M13" t="str">
        <f t="shared" si="0"/>
        <v/>
      </c>
    </row>
    <row r="14" spans="1:64">
      <c r="F14" s="35">
        <f>calc!$C$14</f>
        <v>23.094333333333331</v>
      </c>
      <c r="G14" s="47">
        <f>calc!$H$14</f>
        <v>37.109092054110313</v>
      </c>
      <c r="H14" s="64">
        <f>calc!$J$14</f>
        <v>174.95309474666089</v>
      </c>
      <c r="I14" s="51">
        <f>calc!$I$14</f>
        <v>99.788008462532858</v>
      </c>
      <c r="J14" s="25">
        <f>calc!$K$14</f>
        <v>2458947.4622638677</v>
      </c>
      <c r="K14" s="7">
        <f t="shared" si="1"/>
        <v>12.420597201213241</v>
      </c>
      <c r="L14" t="str">
        <f>caldat!$T$14</f>
        <v>2020  04-07    23:05:39,6</v>
      </c>
      <c r="M14" s="17" t="str">
        <f t="shared" si="0"/>
        <v>Vollmond</v>
      </c>
    </row>
    <row r="15" spans="1:64">
      <c r="F15" s="35">
        <f>calc!$C$15</f>
        <v>23.935527777777775</v>
      </c>
      <c r="G15" s="47">
        <f>calc!$H$15</f>
        <v>30.819964957703601</v>
      </c>
      <c r="H15" s="64">
        <f>calc!$J$15</f>
        <v>174.32136616333668</v>
      </c>
      <c r="I15" s="51">
        <f>calc!$I$15</f>
        <v>98.646931177976938</v>
      </c>
      <c r="J15" s="25">
        <f>calc!$K$15</f>
        <v>2458948.4973136345</v>
      </c>
      <c r="K15" s="7">
        <f t="shared" si="1"/>
        <v>13.455646967981011</v>
      </c>
      <c r="L15" t="str">
        <f>caldat!$T$15</f>
        <v>2020  04-08    23:56:07,9</v>
      </c>
      <c r="M15" t="str">
        <f t="shared" si="0"/>
        <v/>
      </c>
    </row>
    <row r="16" spans="1:64">
      <c r="F16" s="35">
        <f>calc!$C$16</f>
        <v>0.77672222222221876</v>
      </c>
      <c r="G16" s="47">
        <f>calc!$H$16</f>
        <v>25.130027243221662</v>
      </c>
      <c r="H16" s="64">
        <f>calc!$J$16</f>
        <v>173.50376878185864</v>
      </c>
      <c r="I16" s="51">
        <f>calc!$I$16</f>
        <v>94.409888834976627</v>
      </c>
      <c r="J16" s="25">
        <f>calc!$K$16</f>
        <v>2458949.5323634013</v>
      </c>
      <c r="K16" s="7">
        <f t="shared" si="1"/>
        <v>14.490696734748781</v>
      </c>
      <c r="L16" t="str">
        <f>caldat!$T$16</f>
        <v>2020  04-10    00:46:36,2</v>
      </c>
      <c r="M16" t="str">
        <f t="shared" si="0"/>
        <v/>
      </c>
    </row>
    <row r="17" spans="6:13">
      <c r="F17" s="35">
        <f>calc!$C$17</f>
        <v>1.6179166666666633</v>
      </c>
      <c r="G17" s="47">
        <f>calc!$H$17</f>
        <v>20.435202712599029</v>
      </c>
      <c r="H17" s="64">
        <f>calc!$J$17</f>
        <v>172.43045433374959</v>
      </c>
      <c r="I17" s="51">
        <f>calc!$I$17</f>
        <v>87.555651522431035</v>
      </c>
      <c r="J17" s="25">
        <f>calc!$K$17</f>
        <v>2458950.567413168</v>
      </c>
      <c r="K17" s="7">
        <f t="shared" si="1"/>
        <v>15.525746501516551</v>
      </c>
      <c r="L17" t="str">
        <f>caldat!$T$17</f>
        <v>2020  04-11    01:37:04,5</v>
      </c>
      <c r="M17" t="str">
        <f t="shared" si="0"/>
        <v/>
      </c>
    </row>
    <row r="18" spans="6:13">
      <c r="F18" s="35">
        <f>calc!$C$18</f>
        <v>2.4591111111111079</v>
      </c>
      <c r="G18" s="47">
        <f>calc!$H$18</f>
        <v>17.032165052502602</v>
      </c>
      <c r="H18" s="64">
        <f>calc!$J$18</f>
        <v>171.15510521923903</v>
      </c>
      <c r="I18" s="51">
        <f>calc!$I$18</f>
        <v>78.757374965016709</v>
      </c>
      <c r="J18" s="25">
        <f>calc!$K$18</f>
        <v>2458951.6024629348</v>
      </c>
      <c r="K18" s="7">
        <f t="shared" si="1"/>
        <v>16.560796268284321</v>
      </c>
      <c r="L18" t="str">
        <f>caldat!$T$18</f>
        <v>2020  04-12    02:27:32,8</v>
      </c>
      <c r="M18" t="str">
        <f t="shared" si="0"/>
        <v/>
      </c>
    </row>
    <row r="19" spans="6:13">
      <c r="F19" s="35">
        <f>calc!$C$19</f>
        <v>3.3003055555555525</v>
      </c>
      <c r="G19" s="47">
        <f>calc!$H$19</f>
        <v>15.088960300867072</v>
      </c>
      <c r="H19" s="64">
        <f>calc!$J$19</f>
        <v>169.8270394319668</v>
      </c>
      <c r="I19" s="51">
        <f>calc!$I$19</f>
        <v>68.739918794460593</v>
      </c>
      <c r="J19" s="25">
        <f>calc!$K$19</f>
        <v>2458952.6375127016</v>
      </c>
      <c r="K19" s="7">
        <f t="shared" si="1"/>
        <v>17.595846035052091</v>
      </c>
      <c r="L19" t="str">
        <f>caldat!$T$19</f>
        <v>2020  04-13    03:18:01,1</v>
      </c>
      <c r="M19" t="str">
        <f t="shared" si="0"/>
        <v/>
      </c>
    </row>
    <row r="20" spans="6:13">
      <c r="F20" s="35">
        <f>calc!$C$20</f>
        <v>4.1414999999999971</v>
      </c>
      <c r="G20" s="47">
        <f>calc!$H$20</f>
        <v>14.639492881537475</v>
      </c>
      <c r="H20" s="64">
        <f>calc!$J$20</f>
        <v>168.64533764563157</v>
      </c>
      <c r="I20" s="51">
        <f>calc!$I$20</f>
        <v>58.16638624799468</v>
      </c>
      <c r="J20" s="25">
        <f>calc!$K$20</f>
        <v>2458953.6725624683</v>
      </c>
      <c r="K20" s="7">
        <f t="shared" si="1"/>
        <v>18.630895801819861</v>
      </c>
      <c r="L20" t="str">
        <f>caldat!$T$20</f>
        <v>2020  04-14    04:08:29,4</v>
      </c>
      <c r="M20" t="str">
        <f t="shared" si="0"/>
        <v/>
      </c>
    </row>
    <row r="21" spans="6:13">
      <c r="F21" s="35">
        <f>calc!$C$21</f>
        <v>4.9826944444444417</v>
      </c>
      <c r="G21" s="47">
        <f>calc!$H$21</f>
        <v>15.603568310205198</v>
      </c>
      <c r="H21" s="64">
        <f>calc!$J$21</f>
        <v>167.80802553697742</v>
      </c>
      <c r="I21" s="51">
        <f>calc!$I$21</f>
        <v>47.582013542981969</v>
      </c>
      <c r="J21" s="25">
        <f>calc!$K$21</f>
        <v>2458954.7076122351</v>
      </c>
      <c r="K21" s="7">
        <f t="shared" si="1"/>
        <v>19.665945568587631</v>
      </c>
      <c r="L21" t="str">
        <f>caldat!$T$21</f>
        <v>2020  04-15    04:58:57,7</v>
      </c>
      <c r="M21" t="str">
        <f t="shared" si="0"/>
        <v/>
      </c>
    </row>
    <row r="22" spans="6:13">
      <c r="F22" s="35">
        <f>calc!$C$22</f>
        <v>5.8238888888888862</v>
      </c>
      <c r="G22" s="47">
        <f>calc!$H$22</f>
        <v>17.820394126533916</v>
      </c>
      <c r="H22" s="64">
        <f>calc!$J$22</f>
        <v>167.47326706743178</v>
      </c>
      <c r="I22" s="51">
        <f>calc!$I$22</f>
        <v>37.411678578629129</v>
      </c>
      <c r="J22" s="25">
        <f>calc!$K$22</f>
        <v>2458955.7426620019</v>
      </c>
      <c r="K22" s="7">
        <f t="shared" si="1"/>
        <v>20.700995335355401</v>
      </c>
      <c r="L22" t="str">
        <f>caldat!$T$22</f>
        <v>2020  04-16    05:49:26</v>
      </c>
      <c r="M22" t="str">
        <f t="shared" si="0"/>
        <v/>
      </c>
    </row>
    <row r="23" spans="6:13">
      <c r="F23" s="35">
        <f>calc!$C$23</f>
        <v>6.6650833333333308</v>
      </c>
      <c r="G23" s="47">
        <f>calc!$H$23</f>
        <v>21.081481843393366</v>
      </c>
      <c r="H23" s="64">
        <f>calc!$J$23</f>
        <v>167.74162990189274</v>
      </c>
      <c r="I23" s="51">
        <f>calc!$I$23</f>
        <v>27.987834126895596</v>
      </c>
      <c r="J23" s="25">
        <f>calc!$K$23</f>
        <v>2458956.7777117686</v>
      </c>
      <c r="K23" s="7">
        <f t="shared" si="1"/>
        <v>21.736045102123171</v>
      </c>
      <c r="L23" t="str">
        <f>caldat!$T$23</f>
        <v>2020  04-17    06:39:54,3</v>
      </c>
      <c r="M23" t="str">
        <f t="shared" si="0"/>
        <v/>
      </c>
    </row>
    <row r="24" spans="6:13">
      <c r="F24" s="35">
        <f>calc!$C$24</f>
        <v>7.5062777777777754</v>
      </c>
      <c r="G24" s="47">
        <f>calc!$H$24</f>
        <v>25.156510028613368</v>
      </c>
      <c r="H24" s="64">
        <f>calc!$J$24</f>
        <v>168.65599946964238</v>
      </c>
      <c r="I24" s="51">
        <f>calc!$I$24</f>
        <v>19.5840677554183</v>
      </c>
      <c r="J24" s="25">
        <f>calc!$K$24</f>
        <v>2458957.8127615354</v>
      </c>
      <c r="K24" s="7">
        <f t="shared" si="1"/>
        <v>22.771094868890941</v>
      </c>
      <c r="L24" t="str">
        <f>caldat!$T$24</f>
        <v>2020  04-18    07:30:22,6</v>
      </c>
      <c r="M24" t="str">
        <f t="shared" si="0"/>
        <v/>
      </c>
    </row>
    <row r="25" spans="6:13">
      <c r="F25" s="35">
        <f>calc!$C$25</f>
        <v>8.3474722222222209</v>
      </c>
      <c r="G25" s="47">
        <f>calc!$H$25</f>
        <v>29.810661574355816</v>
      </c>
      <c r="H25" s="64">
        <f>calc!$J$25</f>
        <v>170.20901106972894</v>
      </c>
      <c r="I25" s="51">
        <f>calc!$I$25</f>
        <v>12.438901393788605</v>
      </c>
      <c r="J25" s="25">
        <f>calc!$K$25</f>
        <v>2458958.8478113022</v>
      </c>
      <c r="K25" s="7">
        <f t="shared" si="1"/>
        <v>23.806144635658711</v>
      </c>
      <c r="L25" t="str">
        <f>caldat!$T$25</f>
        <v>2020  04-19    08:20:50,9</v>
      </c>
      <c r="M25" t="str">
        <f t="shared" si="0"/>
        <v/>
      </c>
    </row>
    <row r="26" spans="6:13">
      <c r="F26" s="35">
        <f>calc!$C$26</f>
        <v>9.1886666666666663</v>
      </c>
      <c r="G26" s="47">
        <f>calc!$H$26</f>
        <v>34.814639590779279</v>
      </c>
      <c r="H26" s="64">
        <f>calc!$J$26</f>
        <v>172.34882882474722</v>
      </c>
      <c r="I26" s="51">
        <f>calc!$I$26</f>
        <v>6.7655507860332307</v>
      </c>
      <c r="J26" s="25">
        <f>calc!$K$26</f>
        <v>2458959.8828610689</v>
      </c>
      <c r="K26" s="7">
        <f t="shared" si="1"/>
        <v>24.841194402426481</v>
      </c>
      <c r="L26" t="str">
        <f>caldat!$T$26</f>
        <v>2020  04-20    09:11:19,2</v>
      </c>
      <c r="M26" t="str">
        <f t="shared" si="0"/>
        <v/>
      </c>
    </row>
    <row r="27" spans="6:13">
      <c r="F27" s="35">
        <f>calc!$C$27</f>
        <v>10.029861111111112</v>
      </c>
      <c r="G27" s="47">
        <f>calc!$H$27</f>
        <v>39.949969039943042</v>
      </c>
      <c r="H27" s="64">
        <f>calc!$J$27</f>
        <v>174.97820020143723</v>
      </c>
      <c r="I27" s="51">
        <f>calc!$I$27</f>
        <v>2.7505602559291464</v>
      </c>
      <c r="J27" s="25">
        <f>calc!$K$27</f>
        <v>2458960.9179108357</v>
      </c>
      <c r="K27" s="7">
        <f t="shared" si="1"/>
        <v>25.876244169194251</v>
      </c>
      <c r="L27" t="str">
        <f>caldat!$T$27</f>
        <v>2020  04-21    10:01:47,5</v>
      </c>
      <c r="M27" t="str">
        <f t="shared" si="0"/>
        <v/>
      </c>
    </row>
    <row r="28" spans="6:13">
      <c r="F28" s="35">
        <f>calc!$C$28</f>
        <v>10.871055555555557</v>
      </c>
      <c r="G28" s="47">
        <f>calc!$H$28</f>
        <v>45.011565682502095</v>
      </c>
      <c r="H28" s="64">
        <f>calc!$J$28</f>
        <v>177.94527766741521</v>
      </c>
      <c r="I28" s="51">
        <f>calc!$I$28</f>
        <v>0.5464272687506877</v>
      </c>
      <c r="J28" s="25">
        <f>calc!$K$28</f>
        <v>2458961.9529606025</v>
      </c>
      <c r="K28" s="7">
        <f t="shared" si="1"/>
        <v>26.911293935962021</v>
      </c>
      <c r="L28" t="str">
        <f>caldat!$T$28</f>
        <v>2020  04-22    10:52:15,8</v>
      </c>
      <c r="M28" t="str">
        <f t="shared" si="0"/>
        <v/>
      </c>
    </row>
    <row r="29" spans="6:13">
      <c r="F29" s="35">
        <f>calc!$C$29</f>
        <v>11.712250000000003</v>
      </c>
      <c r="G29" s="47">
        <f>calc!$H$29</f>
        <v>49.808103589306263</v>
      </c>
      <c r="H29" s="64">
        <f>calc!$J$29</f>
        <v>181.02758744084286</v>
      </c>
      <c r="I29" s="51">
        <f>calc!$I$29</f>
        <v>0.26230156871200339</v>
      </c>
      <c r="J29" s="25">
        <f>calc!$K$29</f>
        <v>2458962.9880103692</v>
      </c>
      <c r="K29" s="7">
        <f t="shared" si="1"/>
        <v>27.946343702729791</v>
      </c>
      <c r="L29" t="str">
        <f>caldat!$T$29</f>
        <v>2020  04-23    11:42:44,1</v>
      </c>
      <c r="M29" t="str">
        <f t="shared" si="0"/>
        <v/>
      </c>
    </row>
    <row r="30" spans="6:13">
      <c r="F30" s="35">
        <f>calc!$C$30</f>
        <v>12.553444444444448</v>
      </c>
      <c r="G30" s="47">
        <f>calc!$H$30</f>
        <v>54.159472650360456</v>
      </c>
      <c r="H30" s="64">
        <f>calc!$J$30</f>
        <v>183.91519526438947</v>
      </c>
      <c r="I30" s="51">
        <f>calc!$I$30</f>
        <v>1.9550600958626208</v>
      </c>
      <c r="J30" s="25">
        <f>calc!$K$30</f>
        <v>2458964.023060136</v>
      </c>
      <c r="K30" s="7">
        <f t="shared" si="1"/>
        <v>28.981393469497561</v>
      </c>
      <c r="L30" t="str">
        <f>caldat!$T$30</f>
        <v>2020  04-24    12:33:12,4</v>
      </c>
      <c r="M30" t="str">
        <f t="shared" si="0"/>
        <v/>
      </c>
    </row>
    <row r="31" spans="6:13">
      <c r="F31" s="35">
        <f>calc!$C$31</f>
        <v>13.394638888888894</v>
      </c>
      <c r="G31" s="47">
        <f>calc!$H$31</f>
        <v>57.889922943576622</v>
      </c>
      <c r="H31" s="64">
        <f>calc!$J$31</f>
        <v>186.20934776934183</v>
      </c>
      <c r="I31" s="51">
        <f>calc!$I$31</f>
        <v>5.6219782320242491</v>
      </c>
      <c r="J31" s="25">
        <f>calc!$K$31</f>
        <v>2458965.0581099028</v>
      </c>
      <c r="K31" s="7">
        <f t="shared" si="1"/>
        <v>30.016443236265332</v>
      </c>
      <c r="L31" t="str">
        <f>caldat!$T$31</f>
        <v>2020  04-25    13:23:40,7</v>
      </c>
      <c r="M31" t="str">
        <f t="shared" si="0"/>
        <v/>
      </c>
    </row>
    <row r="32" spans="6:13">
      <c r="F32" s="35">
        <f>calc!$C$32</f>
        <v>14.235833333333339</v>
      </c>
      <c r="G32" s="47">
        <f>calc!$H$32</f>
        <v>60.816530441028974</v>
      </c>
      <c r="H32" s="64">
        <f>calc!$J$32</f>
        <v>187.4706347786763</v>
      </c>
      <c r="I32" s="51">
        <f>calc!$I$32</f>
        <v>11.195645973024437</v>
      </c>
      <c r="J32" s="25">
        <f>calc!$K$32</f>
        <v>2458966.0931596695</v>
      </c>
      <c r="K32" s="7">
        <f t="shared" si="1"/>
        <v>31.051493003033102</v>
      </c>
      <c r="L32" t="str">
        <f>caldat!$T$32</f>
        <v>2020  04-26    14:14:09</v>
      </c>
      <c r="M32" t="str">
        <f t="shared" si="0"/>
        <v/>
      </c>
    </row>
    <row r="33" spans="6:12">
      <c r="F33" s="35">
        <f>calc!$C$33</f>
        <v>15.077027777777785</v>
      </c>
      <c r="G33" s="47">
        <f>calc!$H$33</f>
        <v>62.738502259568996</v>
      </c>
      <c r="H33" s="64">
        <f>calc!$J$33</f>
        <v>187.36258673810022</v>
      </c>
      <c r="I33" s="51">
        <f>calc!$I$33</f>
        <v>18.540644116339145</v>
      </c>
      <c r="J33" s="25">
        <f>calc!$K$33</f>
        <v>2458967.1282094363</v>
      </c>
      <c r="K33" s="7">
        <f t="shared" si="1"/>
        <v>32.086542769800872</v>
      </c>
      <c r="L33" s="48" t="str">
        <f>caldat!$T$33</f>
        <v>2020  04-27    15:04:37,3</v>
      </c>
    </row>
    <row r="34" spans="6:12">
      <c r="F34" s="35">
        <f>calc!$C$34</f>
        <v>15.91822222222223</v>
      </c>
      <c r="G34" s="47">
        <f>calc!$H$34</f>
        <v>63.444536090895213</v>
      </c>
      <c r="H34" s="64">
        <f>calc!$J$34</f>
        <v>185.88663281536304</v>
      </c>
      <c r="I34" s="51">
        <f>calc!$I$34</f>
        <v>27.449466539234781</v>
      </c>
      <c r="J34" s="25">
        <f>calc!$K$34</f>
        <v>2458968.1632592031</v>
      </c>
      <c r="K34" s="7">
        <f t="shared" si="1"/>
        <v>33.121592536568642</v>
      </c>
      <c r="L34" s="48" t="str">
        <f>caldat!$T$34</f>
        <v>2020  04-28    15:55:05,6</v>
      </c>
    </row>
    <row r="35" spans="6:12">
      <c r="F35" s="35">
        <f>calc!$C$35</f>
        <v>16.759416666666674</v>
      </c>
      <c r="G35" s="47">
        <f>calc!$H$35</f>
        <v>62.758045390280429</v>
      </c>
      <c r="H35" s="64">
        <f>calc!$J$35</f>
        <v>183.53568033090301</v>
      </c>
      <c r="I35" s="51">
        <f>calc!$I$35</f>
        <v>37.633727136855079</v>
      </c>
      <c r="J35" s="25">
        <f>calc!$K$35</f>
        <v>2458969.1983089698</v>
      </c>
      <c r="K35" s="7">
        <f t="shared" ref="K35:K63" si="2">J35-$J$2</f>
        <v>34.156642303336412</v>
      </c>
      <c r="L35" s="48" t="str">
        <f>caldat!$T$35</f>
        <v>2020  04-29    16:45:33,9</v>
      </c>
    </row>
    <row r="36" spans="6:12">
      <c r="F36" s="35">
        <f>calc!$C$36</f>
        <v>17.600611111111117</v>
      </c>
      <c r="G36" s="47">
        <f>calc!$H$36</f>
        <v>60.606691899763874</v>
      </c>
      <c r="H36" s="64">
        <f>calc!$J$36</f>
        <v>181.09938216893056</v>
      </c>
      <c r="I36" s="51">
        <f>calc!$I$36</f>
        <v>48.708425259016806</v>
      </c>
      <c r="J36" s="25">
        <f>calc!$K$36</f>
        <v>2458970.2333587366</v>
      </c>
      <c r="K36" s="7">
        <f t="shared" si="2"/>
        <v>35.191692070104182</v>
      </c>
      <c r="L36" s="48" t="str">
        <f>caldat!$T$36</f>
        <v>2020  04-30    17:36:02,2</v>
      </c>
    </row>
    <row r="37" spans="6:12">
      <c r="F37" s="35">
        <f>calc!$C$37</f>
        <v>18.441805555555561</v>
      </c>
      <c r="G37" s="47">
        <f>calc!$H$37</f>
        <v>57.061565214540508</v>
      </c>
      <c r="H37" s="64">
        <f>calc!$J$37</f>
        <v>179.20206159679714</v>
      </c>
      <c r="I37" s="51">
        <f>calc!$I$37</f>
        <v>60.173363457188259</v>
      </c>
      <c r="J37" s="25">
        <f>calc!$K$37</f>
        <v>2458971.2684085034</v>
      </c>
      <c r="K37" s="7">
        <f t="shared" si="2"/>
        <v>36.226741836871952</v>
      </c>
      <c r="L37" s="48" t="str">
        <f>caldat!$T$37</f>
        <v>2020  05-01    18:26:30,5</v>
      </c>
    </row>
    <row r="38" spans="6:12">
      <c r="F38" s="35">
        <f>calc!$C$38</f>
        <v>19.283000000000005</v>
      </c>
      <c r="G38" s="47">
        <f>calc!$H$38</f>
        <v>52.320701666852322</v>
      </c>
      <c r="H38" s="64">
        <f>calc!$J$38</f>
        <v>178.02969120381891</v>
      </c>
      <c r="I38" s="51">
        <f>calc!$I$38</f>
        <v>71.404641669887184</v>
      </c>
      <c r="J38" s="25">
        <f>calc!$K$38</f>
        <v>2458972.3034582702</v>
      </c>
      <c r="K38" s="7">
        <f t="shared" si="2"/>
        <v>37.261791603639722</v>
      </c>
      <c r="L38" s="48" t="str">
        <f>caldat!$T$38</f>
        <v>2020  05-02    19:16:58,8</v>
      </c>
    </row>
    <row r="39" spans="6:12">
      <c r="F39" s="35">
        <f>calc!$C$39</f>
        <v>20.124194444444448</v>
      </c>
      <c r="G39" s="47">
        <f>calc!$H$39</f>
        <v>46.672334949727954</v>
      </c>
      <c r="H39" s="64">
        <f>calc!$J$39</f>
        <v>177.41292190685323</v>
      </c>
      <c r="I39" s="51">
        <f>calc!$I$39</f>
        <v>81.674818251123256</v>
      </c>
      <c r="J39" s="25">
        <f>calc!$K$39</f>
        <v>2458973.3385080369</v>
      </c>
      <c r="K39" s="7">
        <f t="shared" si="2"/>
        <v>38.296841370407492</v>
      </c>
      <c r="L39" s="48" t="str">
        <f>caldat!$T$39</f>
        <v>2020  05-03    20:07:27,1</v>
      </c>
    </row>
    <row r="40" spans="6:12">
      <c r="F40" s="35">
        <f>calc!$C$40</f>
        <v>20.965388888888892</v>
      </c>
      <c r="G40" s="47">
        <f>calc!$H$40</f>
        <v>40.470803030287179</v>
      </c>
      <c r="H40" s="64">
        <f>calc!$J$40</f>
        <v>177.03793716888418</v>
      </c>
      <c r="I40" s="51">
        <f>calc!$I$40</f>
        <v>90.216533515742057</v>
      </c>
      <c r="J40" s="25">
        <f>calc!$K$40</f>
        <v>2458974.3735578037</v>
      </c>
      <c r="K40" s="7">
        <f t="shared" si="2"/>
        <v>39.331891137175262</v>
      </c>
      <c r="L40" s="48" t="str">
        <f>caldat!$T$40</f>
        <v>2020  05-04    20:57:55,4</v>
      </c>
    </row>
    <row r="41" spans="6:12">
      <c r="F41" s="35">
        <f>calc!$C$41</f>
        <v>21.806583333333336</v>
      </c>
      <c r="G41" s="47">
        <f>calc!$H$41</f>
        <v>34.122924022807801</v>
      </c>
      <c r="H41" s="64">
        <f>calc!$J$41</f>
        <v>176.5991479900477</v>
      </c>
      <c r="I41" s="51">
        <f>calc!$I$41</f>
        <v>96.328859533833281</v>
      </c>
      <c r="J41" s="25">
        <f>calc!$K$41</f>
        <v>2458975.4086075705</v>
      </c>
      <c r="K41" s="7">
        <f t="shared" si="2"/>
        <v>40.366940903943032</v>
      </c>
      <c r="L41" s="48" t="str">
        <f>caldat!$T$41</f>
        <v>2020  05-05    21:48:23,7</v>
      </c>
    </row>
    <row r="42" spans="6:12">
      <c r="F42" s="35">
        <f>calc!$C$42</f>
        <v>22.64777777777778</v>
      </c>
      <c r="G42" s="47">
        <f>calc!$H$42</f>
        <v>28.069365045326506</v>
      </c>
      <c r="H42" s="64">
        <f>calc!$J$42</f>
        <v>175.87421447966142</v>
      </c>
      <c r="I42" s="51">
        <f>calc!$I$42</f>
        <v>99.503087902427922</v>
      </c>
      <c r="J42" s="25">
        <f>calc!$K$42</f>
        <v>2458976.4436573372</v>
      </c>
      <c r="K42" s="7">
        <f t="shared" si="2"/>
        <v>41.401990670710802</v>
      </c>
      <c r="L42" s="48" t="str">
        <f>caldat!$T$42</f>
        <v>2020  05-06    22:38:52</v>
      </c>
    </row>
    <row r="43" spans="6:12">
      <c r="F43" s="35">
        <f>calc!$C$43</f>
        <v>23.488972222222223</v>
      </c>
      <c r="G43" s="47">
        <f>calc!$H$43</f>
        <v>22.750754662613112</v>
      </c>
      <c r="H43" s="64">
        <f>calc!$J$43</f>
        <v>174.75729734557791</v>
      </c>
      <c r="I43" s="51">
        <f>calc!$I$43</f>
        <v>99.526143986320051</v>
      </c>
      <c r="J43" s="25">
        <f>calc!$K$43</f>
        <v>2458977.478707104</v>
      </c>
      <c r="K43" s="7">
        <f t="shared" si="2"/>
        <v>42.437040437478572</v>
      </c>
      <c r="L43" s="48" t="str">
        <f>caldat!$T$43</f>
        <v>2020  05-07    23:29:20,3</v>
      </c>
    </row>
    <row r="44" spans="6:12">
      <c r="F44" s="35">
        <f>calc!$C$44</f>
        <v>0.33016666666666694</v>
      </c>
      <c r="G44" s="47">
        <f>calc!$H$44</f>
        <v>18.558046148727335</v>
      </c>
      <c r="H44" s="64">
        <f>calc!$J$44</f>
        <v>173.27229169718186</v>
      </c>
      <c r="I44" s="51">
        <f>calc!$I$44</f>
        <v>96.518768682341573</v>
      </c>
      <c r="J44" s="25">
        <f>calc!$K$44</f>
        <v>2458978.5137568708</v>
      </c>
      <c r="K44" s="7">
        <f t="shared" si="2"/>
        <v>43.472090204246342</v>
      </c>
      <c r="L44" s="48" t="str">
        <f>caldat!$T$44</f>
        <v>2020  05-09    00:19:48,6</v>
      </c>
    </row>
    <row r="45" spans="6:12">
      <c r="F45" s="35">
        <f>calc!$C$45</f>
        <v>1.1713611111111115</v>
      </c>
      <c r="G45" s="47">
        <f>calc!$H$45</f>
        <v>15.777547129743626</v>
      </c>
      <c r="H45" s="64">
        <f>calc!$J$45</f>
        <v>171.56565644568497</v>
      </c>
      <c r="I45" s="51">
        <f>calc!$I$45</f>
        <v>90.889370561101529</v>
      </c>
      <c r="J45" s="25">
        <f>calc!$K$45</f>
        <v>2458979.5488066375</v>
      </c>
      <c r="K45" s="7">
        <f t="shared" si="2"/>
        <v>44.507139971014112</v>
      </c>
      <c r="L45" s="48" t="str">
        <f>caldat!$T$45</f>
        <v>2020  05-10    01:10:16,9</v>
      </c>
    </row>
    <row r="46" spans="6:12">
      <c r="F46" s="35">
        <f>calc!$C$46</f>
        <v>2.0125555555555561</v>
      </c>
      <c r="G46" s="47">
        <f>calc!$H$46</f>
        <v>14.550392223728259</v>
      </c>
      <c r="H46" s="64">
        <f>calc!$J$46</f>
        <v>169.8711322614684</v>
      </c>
      <c r="I46" s="51">
        <f>calc!$I$46</f>
        <v>83.223242731288479</v>
      </c>
      <c r="J46" s="25">
        <f>calc!$K$46</f>
        <v>2458980.5838564043</v>
      </c>
      <c r="K46" s="7">
        <f t="shared" si="2"/>
        <v>45.542189737781882</v>
      </c>
      <c r="L46" s="48" t="str">
        <f>caldat!$T$46</f>
        <v>2020  05-11    02:00:45,2</v>
      </c>
    </row>
    <row r="47" spans="6:12">
      <c r="F47" s="35">
        <f>calc!$C$47</f>
        <v>2.8537500000000007</v>
      </c>
      <c r="G47" s="47">
        <f>calc!$H$47</f>
        <v>14.865366587556236</v>
      </c>
      <c r="H47" s="64">
        <f>calc!$J$47</f>
        <v>168.45016288879566</v>
      </c>
      <c r="I47" s="51">
        <f>calc!$I$47</f>
        <v>74.155276716554823</v>
      </c>
      <c r="J47" s="25">
        <f>calc!$K$47</f>
        <v>2458981.6189061711</v>
      </c>
      <c r="K47" s="7">
        <f t="shared" si="2"/>
        <v>46.577239504549652</v>
      </c>
      <c r="L47" s="48" t="str">
        <f>caldat!$T$47</f>
        <v>2020  05-12    02:51:13,5</v>
      </c>
    </row>
    <row r="48" spans="6:12">
      <c r="F48" s="35">
        <f>calc!$C$48</f>
        <v>3.6949444444444453</v>
      </c>
      <c r="G48" s="47">
        <f>calc!$H$48</f>
        <v>16.586340348479254</v>
      </c>
      <c r="H48" s="64">
        <f>calc!$J$48</f>
        <v>167.5298244642633</v>
      </c>
      <c r="I48" s="51">
        <f>calc!$I$48</f>
        <v>64.273107481211241</v>
      </c>
      <c r="J48" s="25">
        <f>calc!$K$48</f>
        <v>2458982.6539559378</v>
      </c>
      <c r="K48" s="7">
        <f t="shared" si="2"/>
        <v>47.612289271317422</v>
      </c>
      <c r="L48" s="48" t="str">
        <f>caldat!$T$48</f>
        <v>2020  05-13    03:41:41,8</v>
      </c>
    </row>
    <row r="49" spans="6:12">
      <c r="F49" s="35">
        <f>calc!$C$49</f>
        <v>4.5361388888888898</v>
      </c>
      <c r="G49" s="47">
        <f>calc!$H$49</f>
        <v>19.496844294744967</v>
      </c>
      <c r="H49" s="64">
        <f>calc!$J$49</f>
        <v>167.26322296724885</v>
      </c>
      <c r="I49" s="51">
        <f>calc!$I$49</f>
        <v>54.072092463990927</v>
      </c>
      <c r="J49" s="25">
        <f>calc!$K$49</f>
        <v>2458983.6890057046</v>
      </c>
      <c r="K49" s="7">
        <f t="shared" si="2"/>
        <v>48.647339038085192</v>
      </c>
      <c r="L49" s="48" t="str">
        <f>caldat!$T$49</f>
        <v>2020  05-14    04:32:10,1</v>
      </c>
    </row>
    <row r="50" spans="6:12">
      <c r="F50" s="35">
        <f>calc!$C$50</f>
        <v>5.3773333333333344</v>
      </c>
      <c r="G50" s="47">
        <f>calc!$H$50</f>
        <v>23.343573419949667</v>
      </c>
      <c r="H50" s="64">
        <f>calc!$J$50</f>
        <v>167.72073047136411</v>
      </c>
      <c r="I50" s="51">
        <f>calc!$I$50</f>
        <v>43.955351291445304</v>
      </c>
      <c r="J50" s="25">
        <f>calc!$K$50</f>
        <v>2458984.7240554714</v>
      </c>
      <c r="K50" s="7">
        <f t="shared" si="2"/>
        <v>49.682388804852962</v>
      </c>
      <c r="L50" s="48" t="str">
        <f>caldat!$T$50</f>
        <v>2020  05-15    05:22:38,4</v>
      </c>
    </row>
    <row r="51" spans="6:12">
      <c r="F51" s="35">
        <f>calc!$C$51</f>
        <v>6.218527777777779</v>
      </c>
      <c r="G51" s="66">
        <f>calc!$H$51</f>
        <v>27.868322023791062</v>
      </c>
      <c r="H51" s="28">
        <f>calc!$J$51</f>
        <v>168.90155908438942</v>
      </c>
      <c r="I51" s="22">
        <f>calc!$I$51</f>
        <v>34.257663503322398</v>
      </c>
      <c r="J51" s="25">
        <f>calc!$K$51</f>
        <v>2458985.7591052381</v>
      </c>
      <c r="K51" s="7">
        <f t="shared" si="2"/>
        <v>50.717438571620733</v>
      </c>
      <c r="L51" s="48" t="str">
        <f>caldat!$T$51</f>
        <v>2020  05-16    06:13:06,7</v>
      </c>
    </row>
    <row r="52" spans="6:12">
      <c r="F52" s="35">
        <f>calc!$C$52</f>
        <v>7.0597222222222236</v>
      </c>
      <c r="G52" s="66">
        <f>calc!$H$52</f>
        <v>32.825456503651566</v>
      </c>
      <c r="H52" s="28">
        <f>calc!$J$52</f>
        <v>170.74913691196662</v>
      </c>
      <c r="I52" s="22">
        <f>calc!$I$52</f>
        <v>25.272935837953892</v>
      </c>
      <c r="J52" s="25">
        <f>calc!$K$52</f>
        <v>2458986.7941550049</v>
      </c>
      <c r="K52" s="7">
        <f t="shared" si="2"/>
        <v>51.752488338388503</v>
      </c>
      <c r="L52" s="48" t="str">
        <f>caldat!$T$52</f>
        <v>2020  05-17    07:03:35</v>
      </c>
    </row>
    <row r="53" spans="6:12">
      <c r="F53" s="35">
        <f>calc!$C$53</f>
        <v>7.9009166666666681</v>
      </c>
      <c r="G53" s="66">
        <f>calc!$H$53</f>
        <v>37.988360312405078</v>
      </c>
      <c r="H53" s="28">
        <f>calc!$J$53</f>
        <v>173.15873876717961</v>
      </c>
      <c r="I53" s="22">
        <f>calc!$I$53</f>
        <v>17.273764406326986</v>
      </c>
      <c r="J53" s="25">
        <f>calc!$K$53</f>
        <v>2458987.8292047717</v>
      </c>
      <c r="K53" s="7">
        <f t="shared" si="2"/>
        <v>52.787538105156273</v>
      </c>
      <c r="L53" s="48" t="str">
        <f>caldat!$T$53</f>
        <v>2020  05-18    07:54:03,3</v>
      </c>
    </row>
    <row r="54" spans="6:12">
      <c r="F54" s="35">
        <f>calc!$C$54</f>
        <v>8.7421111111111127</v>
      </c>
      <c r="G54" s="66">
        <f>calc!$H$54</f>
        <v>43.149872144670731</v>
      </c>
      <c r="H54" s="28">
        <f>calc!$J$54</f>
        <v>175.97315858719736</v>
      </c>
      <c r="I54" s="22">
        <f>calc!$I$54</f>
        <v>10.520461320549312</v>
      </c>
      <c r="J54" s="25">
        <f>calc!$K$54</f>
        <v>2458988.8642545384</v>
      </c>
      <c r="K54" s="7">
        <f t="shared" si="2"/>
        <v>53.822587871924043</v>
      </c>
      <c r="L54" s="48" t="str">
        <f>caldat!$T$54</f>
        <v>2020  05-19    08:44:31,6</v>
      </c>
    </row>
    <row r="55" spans="6:12">
      <c r="F55" s="35">
        <f>calc!$C$55</f>
        <v>9.5833055555555582</v>
      </c>
      <c r="G55" s="66">
        <f>calc!$H$55</f>
        <v>48.119537916425109</v>
      </c>
      <c r="H55" s="28">
        <f>calc!$J$55</f>
        <v>178.96769293748463</v>
      </c>
      <c r="I55" s="22">
        <f>calc!$I$55</f>
        <v>5.261607909569932</v>
      </c>
      <c r="J55" s="25">
        <f>calc!$K$55</f>
        <v>2458989.8993043052</v>
      </c>
      <c r="K55" s="7">
        <f t="shared" si="2"/>
        <v>54.857637638691813</v>
      </c>
      <c r="L55" s="48" t="str">
        <f>caldat!$T$55</f>
        <v>2020  05-20    09:34:59,9</v>
      </c>
    </row>
    <row r="56" spans="6:12">
      <c r="F56" s="35">
        <f>calc!$C$56</f>
        <v>10.424500000000004</v>
      </c>
      <c r="G56" s="66">
        <f>calc!$H$56</f>
        <v>52.717747208566294</v>
      </c>
      <c r="H56" s="28">
        <f>calc!$J$56</f>
        <v>181.8308931617803</v>
      </c>
      <c r="I56" s="22">
        <f>calc!$I$56</f>
        <v>1.7284896126218641</v>
      </c>
      <c r="J56" s="25">
        <f>calc!$K$56</f>
        <v>2458990.934354072</v>
      </c>
      <c r="K56" s="7">
        <f t="shared" si="2"/>
        <v>55.892687405459583</v>
      </c>
      <c r="L56" s="48" t="str">
        <f>caldat!$T$56</f>
        <v>2020  05-21    10:25:28,2</v>
      </c>
    </row>
    <row r="57" spans="6:12">
      <c r="F57" s="35">
        <f>calc!$C$57</f>
        <v>11.265694444444449</v>
      </c>
      <c r="G57" s="66">
        <f>calc!$H$57</f>
        <v>56.765421384369681</v>
      </c>
      <c r="H57" s="28">
        <f>calc!$J$57</f>
        <v>184.15711687629641</v>
      </c>
      <c r="I57" s="22">
        <f>calc!$I$57</f>
        <v>0.12397937565064576</v>
      </c>
      <c r="J57" s="25">
        <f>calc!$K$57</f>
        <v>2458991.9694038387</v>
      </c>
      <c r="K57" s="7">
        <f t="shared" si="2"/>
        <v>56.927737172227353</v>
      </c>
      <c r="L57" s="48" t="str">
        <f>caldat!$T$57</f>
        <v>2020  05-22    11:15:56,5</v>
      </c>
    </row>
    <row r="58" spans="6:12">
      <c r="F58" s="35">
        <f>calc!$C$58</f>
        <v>12.106888888888895</v>
      </c>
      <c r="G58" s="66">
        <f>calc!$H$58</f>
        <v>60.069292410380605</v>
      </c>
      <c r="H58" s="28">
        <f>calc!$J$58</f>
        <v>185.4854740659718</v>
      </c>
      <c r="I58" s="22">
        <f>calc!$I$58</f>
        <v>0.60548669639712838</v>
      </c>
      <c r="J58" s="25">
        <f>calc!$K$58</f>
        <v>2458993.0044536055</v>
      </c>
      <c r="K58" s="7">
        <f t="shared" si="2"/>
        <v>57.962786938995123</v>
      </c>
      <c r="L58" s="48" t="str">
        <f>caldat!$T$58</f>
        <v>2020  05-23    12:06:24,8</v>
      </c>
    </row>
    <row r="59" spans="6:12">
      <c r="F59" s="35">
        <f>calc!$C$59</f>
        <v>12.94808333333334</v>
      </c>
      <c r="G59" s="66">
        <f>calc!$H$59</f>
        <v>62.40966768866074</v>
      </c>
      <c r="H59" s="28">
        <f>calc!$J$59</f>
        <v>185.43921523002354</v>
      </c>
      <c r="I59" s="22">
        <f>calc!$I$59</f>
        <v>3.2630269726239227</v>
      </c>
      <c r="J59" s="25">
        <f>calc!$K$59</f>
        <v>2458994.0395033723</v>
      </c>
      <c r="K59" s="7">
        <f t="shared" si="2"/>
        <v>58.997836705762893</v>
      </c>
      <c r="L59" s="48" t="str">
        <f>caldat!$T$59</f>
        <v>2020  05-24    12:56:53,1</v>
      </c>
    </row>
    <row r="60" spans="6:12">
      <c r="F60" s="35">
        <f>calc!$C$60</f>
        <v>13.789277777777786</v>
      </c>
      <c r="G60" s="66">
        <f>calc!$H$60</f>
        <v>63.550682170529498</v>
      </c>
      <c r="H60" s="28">
        <f>calc!$J$60</f>
        <v>183.98309978040646</v>
      </c>
      <c r="I60" s="22">
        <f>calc!$I$60</f>
        <v>8.096383247128708</v>
      </c>
      <c r="J60" s="25">
        <f>calc!$K$60</f>
        <v>2458995.074553139</v>
      </c>
      <c r="K60" s="7">
        <f t="shared" si="2"/>
        <v>60.032886472530663</v>
      </c>
      <c r="L60" s="48" t="str">
        <f>caldat!$T$60</f>
        <v>2020  05-25    13:47:21,4</v>
      </c>
    </row>
    <row r="61" spans="6:12">
      <c r="F61" s="35">
        <f>calc!$C$61</f>
        <v>14.630472222222231</v>
      </c>
      <c r="G61" s="66">
        <f>calc!$H$61</f>
        <v>63.295770458222989</v>
      </c>
      <c r="H61" s="28">
        <f>calc!$J$61</f>
        <v>181.63095486161774</v>
      </c>
      <c r="I61" s="22">
        <f>calc!$I$61</f>
        <v>14.997028622532117</v>
      </c>
      <c r="J61" s="25">
        <f>calc!$K$61</f>
        <v>2458996.1096029058</v>
      </c>
      <c r="K61" s="7">
        <f t="shared" si="2"/>
        <v>61.067936239298433</v>
      </c>
      <c r="L61" s="48" t="str">
        <f>caldat!$T$61</f>
        <v>2020  05-26    14:37:49,7</v>
      </c>
    </row>
    <row r="62" spans="6:12">
      <c r="F62" s="35">
        <f>calc!$C$62</f>
        <v>15.471666666666676</v>
      </c>
      <c r="G62" s="66">
        <f>calc!$H$62</f>
        <v>61.569632061619664</v>
      </c>
      <c r="H62" s="28">
        <f>calc!$J$62</f>
        <v>179.26749335118308</v>
      </c>
      <c r="I62" s="22">
        <f>calc!$I$62</f>
        <v>23.738801050614683</v>
      </c>
      <c r="J62" s="25">
        <f>calc!$K$62</f>
        <v>2458997.1446526726</v>
      </c>
      <c r="K62" s="7">
        <f t="shared" si="2"/>
        <v>62.102986006066203</v>
      </c>
      <c r="L62" s="48" t="str">
        <f>caldat!$T$62</f>
        <v>2020  05-27    15:28:18</v>
      </c>
    </row>
    <row r="63" spans="6:12">
      <c r="F63" s="35">
        <f>calc!$C$63</f>
        <v>16.312861111111122</v>
      </c>
      <c r="G63" s="66">
        <f>calc!$H$63</f>
        <v>58.454826699865336</v>
      </c>
      <c r="H63" s="28">
        <f>calc!$J$63</f>
        <v>177.60987631426451</v>
      </c>
      <c r="I63" s="51">
        <f>calc!$I$63</f>
        <v>33.977039289788721</v>
      </c>
      <c r="J63" s="25">
        <f>calc!$K$63</f>
        <v>2458998.1797024393</v>
      </c>
      <c r="K63" s="7">
        <f t="shared" si="2"/>
        <v>63.138035772833973</v>
      </c>
      <c r="L63" s="48" t="str">
        <f>caldat!$T$63</f>
        <v>2020  05-28    16:18:46,3</v>
      </c>
    </row>
    <row r="64" spans="6:12">
      <c r="G64"/>
      <c r="H64"/>
    </row>
    <row r="65" spans="7:8">
      <c r="G65"/>
      <c r="H65"/>
    </row>
    <row r="66" spans="7:8">
      <c r="H66"/>
    </row>
    <row r="67" spans="7:8">
      <c r="H67"/>
    </row>
    <row r="68" spans="7:8">
      <c r="H68"/>
    </row>
    <row r="69" spans="7:8">
      <c r="G69" s="8" t="s">
        <v>56</v>
      </c>
      <c r="H69" s="67">
        <f>MIN(H2:H50)</f>
        <v>167.26322296724885</v>
      </c>
    </row>
    <row r="70" spans="7:8">
      <c r="G70" s="8" t="s">
        <v>58</v>
      </c>
      <c r="H70" s="67">
        <f>MAX(H2:H50)</f>
        <v>189.78060842918586</v>
      </c>
    </row>
    <row r="71" spans="7:8">
      <c r="H71" s="67">
        <f>H70-H69</f>
        <v>22.51738546193701</v>
      </c>
    </row>
    <row r="73" spans="7:8">
      <c r="H73" s="59">
        <f>360/(24.83*60)</f>
        <v>0.24164317358034637</v>
      </c>
    </row>
    <row r="74" spans="7:8">
      <c r="H74" s="59">
        <f>H73*71</f>
        <v>17.156665324204592</v>
      </c>
    </row>
  </sheetData>
  <pageMargins left="0" right="0" top="0" bottom="0" header="0.511811023622047" footer="0.511811023622047"/>
  <pageSetup paperSize="9" orientation="portrait" useFirstPageNumber="1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63"/>
  <sheetViews>
    <sheetView zoomScale="81" zoomScaleNormal="81" workbookViewId="0">
      <selection activeCell="I1" sqref="I1"/>
    </sheetView>
  </sheetViews>
  <sheetFormatPr baseColWidth="10" defaultColWidth="9.6640625" defaultRowHeight="16"/>
  <cols>
    <col min="1" max="2" width="9.5" style="1"/>
    <col min="3" max="3" width="10.83203125" style="1" customWidth="1"/>
    <col min="4" max="4" width="9.5" style="58"/>
    <col min="5" max="5" width="12.33203125" customWidth="1"/>
    <col min="6" max="6" width="9.5" style="8"/>
    <col min="7" max="7" width="9.5" style="68"/>
    <col min="8" max="8" width="9.5" style="1"/>
    <col min="9" max="9" width="15.6640625" style="1" customWidth="1"/>
    <col min="10" max="64" width="9.5" style="1"/>
  </cols>
  <sheetData>
    <row r="1" spans="1:64">
      <c r="A1" s="2" t="str">
        <f>calc!$A$4</f>
        <v>Date</v>
      </c>
      <c r="B1" s="2" t="str">
        <f>calc!$A$6</f>
        <v>Month</v>
      </c>
      <c r="C1" s="2" t="str">
        <f>calc!$A$8</f>
        <v>Year</v>
      </c>
      <c r="D1" s="61" t="str">
        <f>calc!$C$1</f>
        <v>UT</v>
      </c>
      <c r="E1" s="18" t="s">
        <v>63</v>
      </c>
      <c r="F1" s="2" t="str">
        <f>calc!$AF$1</f>
        <v>DEC</v>
      </c>
      <c r="G1" s="60" t="s">
        <v>64</v>
      </c>
      <c r="H1" s="60" t="s">
        <v>65</v>
      </c>
      <c r="I1" s="69" t="s">
        <v>66</v>
      </c>
      <c r="J1" s="2"/>
      <c r="K1" s="3" t="s">
        <v>67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>
      <c r="A2" s="8">
        <f>calc!$A$5</f>
        <v>26</v>
      </c>
      <c r="B2" s="8">
        <f>calc!$A$7</f>
        <v>3</v>
      </c>
      <c r="C2" s="8">
        <f>calc!$A$9</f>
        <v>2020</v>
      </c>
      <c r="D2" s="35">
        <f>calc!$C$2</f>
        <v>13</v>
      </c>
      <c r="E2" s="7">
        <f>'elev  az  illum'!$K$2</f>
        <v>0</v>
      </c>
      <c r="F2" s="47">
        <f>calc!$AF$2</f>
        <v>7.1821909712566194</v>
      </c>
      <c r="G2" s="70">
        <f>calc!$AG$2</f>
        <v>1.9477672424024077</v>
      </c>
      <c r="H2" s="67">
        <f t="shared" ref="H2:H33" si="0">G2*15</f>
        <v>29.216508636036117</v>
      </c>
      <c r="I2" s="71" t="str">
        <f>caldat!$T$2</f>
        <v>2020  03-26    12:59:60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>
      <c r="B3"/>
      <c r="C3" s="9" t="str">
        <f>input!$C$3</f>
        <v>leap year</v>
      </c>
      <c r="D3" s="35">
        <f>calc!$C$3</f>
        <v>13.841194444444445</v>
      </c>
      <c r="E3" s="7">
        <f>'elev  az  illum'!$K$3</f>
        <v>1.0350497667677701</v>
      </c>
      <c r="F3" s="47">
        <f>calc!$AF$3</f>
        <v>11.746245916508018</v>
      </c>
      <c r="G3" s="70">
        <f>calc!$AG$3</f>
        <v>2.7218933337297107</v>
      </c>
      <c r="H3" s="67">
        <f t="shared" si="0"/>
        <v>40.82840000594566</v>
      </c>
      <c r="I3" s="1" t="str">
        <f>caldat!$T$3</f>
        <v>2020  03-27    13:50:28,3</v>
      </c>
      <c r="K3" s="35">
        <f t="shared" ref="K3:K25" si="1">H3-H2</f>
        <v>11.611891369909543</v>
      </c>
    </row>
    <row r="4" spans="1:64">
      <c r="A4" s="54" t="s">
        <v>61</v>
      </c>
      <c r="C4"/>
      <c r="D4" s="35">
        <f>calc!$C$4</f>
        <v>14.682388888888891</v>
      </c>
      <c r="E4" s="7">
        <f>'elev  az  illum'!$K$4</f>
        <v>2.0700995335355401</v>
      </c>
      <c r="F4" s="47">
        <f>calc!$AF$4</f>
        <v>15.8616738587287</v>
      </c>
      <c r="G4" s="70">
        <f>calc!$AG$4</f>
        <v>3.5269354310191154</v>
      </c>
      <c r="H4" s="67">
        <f t="shared" si="0"/>
        <v>52.904031465286735</v>
      </c>
      <c r="I4" s="1" t="str">
        <f>caldat!$T$4</f>
        <v>2020  03-28    14:40:56,6</v>
      </c>
      <c r="K4" s="35">
        <f t="shared" si="1"/>
        <v>12.075631459341075</v>
      </c>
    </row>
    <row r="5" spans="1:64" ht="17">
      <c r="A5" s="65" t="s">
        <v>62</v>
      </c>
      <c r="D5" s="35">
        <f>calc!$C$5</f>
        <v>15.523583333333336</v>
      </c>
      <c r="E5" s="7">
        <f>'elev  az  illum'!$K$5</f>
        <v>3.1051493003033102</v>
      </c>
      <c r="F5" s="47">
        <f>calc!$AF$5</f>
        <v>19.325309365758876</v>
      </c>
      <c r="G5" s="70">
        <f>calc!$AG$5</f>
        <v>4.3730079149286576</v>
      </c>
      <c r="H5" s="67">
        <f t="shared" si="0"/>
        <v>65.595118723929858</v>
      </c>
      <c r="I5" s="1" t="str">
        <f>caldat!$T$5</f>
        <v>2020  03-29    15:31:24,9</v>
      </c>
      <c r="K5" s="35">
        <f t="shared" si="1"/>
        <v>12.691087258643122</v>
      </c>
    </row>
    <row r="6" spans="1:64">
      <c r="D6" s="35">
        <f>calc!$C$6</f>
        <v>16.364777777777782</v>
      </c>
      <c r="E6" s="7">
        <f>'elev  az  illum'!$K$6</f>
        <v>4.1401990670710802</v>
      </c>
      <c r="F6" s="47">
        <f>calc!$AF$6</f>
        <v>21.919071315934989</v>
      </c>
      <c r="G6" s="70">
        <f>calc!$AG$6</f>
        <v>5.2666080330179108</v>
      </c>
      <c r="H6" s="67">
        <f t="shared" si="0"/>
        <v>78.999120495268656</v>
      </c>
      <c r="I6" s="1" t="str">
        <f>caldat!$T$6</f>
        <v>2020  03-30    16:21:53,2</v>
      </c>
      <c r="K6" s="35">
        <f t="shared" si="1"/>
        <v>13.404001771338798</v>
      </c>
    </row>
    <row r="7" spans="1:64">
      <c r="D7" s="35">
        <f>calc!$C$7</f>
        <v>17.205972222222226</v>
      </c>
      <c r="E7" s="7">
        <f>'elev  az  illum'!$K$7</f>
        <v>5.1752488338388503</v>
      </c>
      <c r="F7" s="47">
        <f>calc!$AF$7</f>
        <v>23.41876794205638</v>
      </c>
      <c r="G7" s="70">
        <f>calc!$AG$7</f>
        <v>6.2082125253445364</v>
      </c>
      <c r="H7" s="67">
        <f t="shared" si="0"/>
        <v>93.123187880168047</v>
      </c>
      <c r="I7" s="1" t="str">
        <f>caldat!$T$7</f>
        <v>2020  03-31    17:12:21,5</v>
      </c>
      <c r="K7" s="35">
        <f t="shared" si="1"/>
        <v>14.124067384899391</v>
      </c>
    </row>
    <row r="8" spans="1:64">
      <c r="D8" s="35">
        <f>calc!$C$8</f>
        <v>18.047166666666669</v>
      </c>
      <c r="E8" s="7">
        <f>'elev  az  illum'!$K$8</f>
        <v>6.2102986006066203</v>
      </c>
      <c r="F8" s="47">
        <f>calc!$AF$8</f>
        <v>23.619085523222182</v>
      </c>
      <c r="G8" s="70">
        <f>calc!$AG$8</f>
        <v>7.1903080971582396</v>
      </c>
      <c r="H8" s="67">
        <f t="shared" si="0"/>
        <v>107.8546214573736</v>
      </c>
      <c r="I8" s="1" t="str">
        <f>caldat!$T$8</f>
        <v>2020  04-01    18:02:49,8</v>
      </c>
      <c r="K8" s="35">
        <f t="shared" si="1"/>
        <v>14.73143357720555</v>
      </c>
    </row>
    <row r="9" spans="1:64">
      <c r="D9" s="35">
        <f>calc!$C$9</f>
        <v>18.888361111111113</v>
      </c>
      <c r="E9" s="7">
        <f>'elev  az  illum'!$K$9</f>
        <v>7.2453483673743904</v>
      </c>
      <c r="F9" s="47">
        <f>calc!$AF$9</f>
        <v>22.37575192155894</v>
      </c>
      <c r="G9" s="70">
        <f>calc!$AG$9</f>
        <v>8.1977403158960893</v>
      </c>
      <c r="H9" s="67">
        <f t="shared" si="0"/>
        <v>122.96610473844135</v>
      </c>
      <c r="I9" s="1" t="str">
        <f>caldat!$T$9</f>
        <v>2020  04-02    18:53:18,1</v>
      </c>
      <c r="K9" s="35">
        <f t="shared" si="1"/>
        <v>15.111483281067748</v>
      </c>
    </row>
    <row r="10" spans="1:64">
      <c r="D10" s="35">
        <f>calc!$C$10</f>
        <v>19.729555555555557</v>
      </c>
      <c r="E10" s="7">
        <f>'elev  az  illum'!$K$10</f>
        <v>8.2803981341421604</v>
      </c>
      <c r="F10" s="47">
        <f>calc!$AF$10</f>
        <v>19.653134535220502</v>
      </c>
      <c r="G10" s="70">
        <f>calc!$AG$10</f>
        <v>9.2117171869894356</v>
      </c>
      <c r="H10" s="67">
        <f t="shared" si="0"/>
        <v>138.17575780484154</v>
      </c>
      <c r="I10" s="1" t="str">
        <f>caldat!$T$10</f>
        <v>2020  04-03    19:43:46,4</v>
      </c>
      <c r="K10" s="35">
        <f t="shared" si="1"/>
        <v>15.209653066400193</v>
      </c>
    </row>
    <row r="11" spans="1:64">
      <c r="D11" s="35">
        <f>calc!$C$11</f>
        <v>20.57075</v>
      </c>
      <c r="E11" s="7">
        <f>'elev  az  illum'!$K$11</f>
        <v>9.3154479009099305</v>
      </c>
      <c r="F11" s="47">
        <f>calc!$AF$11</f>
        <v>15.555839310174788</v>
      </c>
      <c r="G11" s="70">
        <f>calc!$AG$11</f>
        <v>10.216213604898055</v>
      </c>
      <c r="H11" s="67">
        <f t="shared" si="0"/>
        <v>153.24320407347082</v>
      </c>
      <c r="I11" s="1" t="str">
        <f>caldat!$T$11</f>
        <v>2020  04-04    20:34:14,7</v>
      </c>
      <c r="K11" s="35">
        <f t="shared" si="1"/>
        <v>15.067446268629283</v>
      </c>
    </row>
    <row r="12" spans="1:64">
      <c r="D12" s="35">
        <f>calc!$C$12</f>
        <v>21.411944444444444</v>
      </c>
      <c r="E12" s="7">
        <f>'elev  az  illum'!$K$12</f>
        <v>10.350497667677701</v>
      </c>
      <c r="F12" s="47">
        <f>calc!$AF$12</f>
        <v>10.329474478596479</v>
      </c>
      <c r="G12" s="70">
        <f>calc!$AG$12</f>
        <v>11.203246442890547</v>
      </c>
      <c r="H12" s="67">
        <f t="shared" si="0"/>
        <v>168.0486966433582</v>
      </c>
      <c r="I12" s="1" t="str">
        <f>caldat!$T$12</f>
        <v>2020  04-05    21:24:43</v>
      </c>
      <c r="K12" s="35">
        <f t="shared" si="1"/>
        <v>14.805492569887377</v>
      </c>
    </row>
    <row r="13" spans="1:64">
      <c r="D13" s="35">
        <f>calc!$C$13</f>
        <v>22.253138888888888</v>
      </c>
      <c r="E13" s="7">
        <f>'elev  az  illum'!$K$13</f>
        <v>11.385547434445471</v>
      </c>
      <c r="F13" s="47">
        <f>calc!$AF$13</f>
        <v>4.3341349012175279</v>
      </c>
      <c r="G13" s="70">
        <f>calc!$AG$13</f>
        <v>12.174355393005817</v>
      </c>
      <c r="H13" s="67">
        <f t="shared" si="0"/>
        <v>182.61533089508725</v>
      </c>
      <c r="I13" s="1" t="str">
        <f>caldat!$T$13</f>
        <v>2020  04-06    22:15:11,3</v>
      </c>
      <c r="K13" s="35">
        <f t="shared" si="1"/>
        <v>14.566634251729056</v>
      </c>
    </row>
    <row r="14" spans="1:64">
      <c r="D14" s="35">
        <f>calc!$C$14</f>
        <v>23.094333333333331</v>
      </c>
      <c r="E14" s="7">
        <f>'elev  az  illum'!$K$14</f>
        <v>12.420597201213241</v>
      </c>
      <c r="F14" s="47">
        <f>calc!$AF$14</f>
        <v>-1.9947272390604154</v>
      </c>
      <c r="G14" s="70">
        <f>calc!$AG$14</f>
        <v>13.138424652994651</v>
      </c>
      <c r="H14" s="67">
        <f t="shared" si="0"/>
        <v>197.07636979491977</v>
      </c>
      <c r="I14" s="1" t="str">
        <f>caldat!$T$14</f>
        <v>2020  04-07    23:05:39,6</v>
      </c>
      <c r="K14" s="35">
        <f t="shared" si="1"/>
        <v>14.461038899832516</v>
      </c>
    </row>
    <row r="15" spans="1:64">
      <c r="D15" s="35">
        <f>calc!$C$15</f>
        <v>23.935527777777775</v>
      </c>
      <c r="E15" s="7">
        <f>'elev  az  illum'!$K$15</f>
        <v>13.455646967981011</v>
      </c>
      <c r="F15" s="47">
        <f>calc!$AF$15</f>
        <v>-8.187318874186202</v>
      </c>
      <c r="G15" s="70">
        <f>calc!$AG$15</f>
        <v>14.10750183598385</v>
      </c>
      <c r="H15" s="67">
        <f t="shared" si="0"/>
        <v>211.61252753975776</v>
      </c>
      <c r="I15" s="1" t="str">
        <f>caldat!$T$15</f>
        <v>2020  04-08    23:56:07,9</v>
      </c>
      <c r="K15" s="35">
        <f t="shared" si="1"/>
        <v>14.536157744837993</v>
      </c>
    </row>
    <row r="16" spans="1:64">
      <c r="D16" s="35">
        <f>calc!$C$16</f>
        <v>0.77672222222221876</v>
      </c>
      <c r="E16" s="7">
        <f>'elev  az  illum'!$K$16</f>
        <v>14.490696734748781</v>
      </c>
      <c r="F16" s="47">
        <f>calc!$AF$16</f>
        <v>-13.781384502441037</v>
      </c>
      <c r="G16" s="70">
        <f>calc!$AG$16</f>
        <v>15.091952354596042</v>
      </c>
      <c r="H16" s="67">
        <f t="shared" si="0"/>
        <v>226.37928531894065</v>
      </c>
      <c r="I16" s="1" t="str">
        <f>caldat!$T$16</f>
        <v>2020  04-10    00:46:36,2</v>
      </c>
      <c r="K16" s="35">
        <f t="shared" si="1"/>
        <v>14.766757779182882</v>
      </c>
    </row>
    <row r="17" spans="4:11">
      <c r="D17" s="35">
        <f>calc!$C$17</f>
        <v>1.6179166666666633</v>
      </c>
      <c r="E17" s="7">
        <f>'elev  az  illum'!$K$17</f>
        <v>15.525746501516551</v>
      </c>
      <c r="F17" s="47">
        <f>calc!$AF$17</f>
        <v>-18.368342847501971</v>
      </c>
      <c r="G17" s="70">
        <f>calc!$AG$17</f>
        <v>16.095790881366213</v>
      </c>
      <c r="H17" s="67">
        <f t="shared" si="0"/>
        <v>241.43686322049319</v>
      </c>
      <c r="I17" s="1" t="str">
        <f>caldat!$T$17</f>
        <v>2020  04-11    01:37:04,5</v>
      </c>
      <c r="K17" s="35">
        <f t="shared" si="1"/>
        <v>15.057577901552548</v>
      </c>
    </row>
    <row r="18" spans="4:11">
      <c r="D18" s="35">
        <f>calc!$C$18</f>
        <v>2.4591111111111079</v>
      </c>
      <c r="E18" s="7">
        <f>'elev  az  illum'!$K$18</f>
        <v>16.560796268284321</v>
      </c>
      <c r="F18" s="47">
        <f>calc!$AF$18</f>
        <v>-21.642302031707917</v>
      </c>
      <c r="G18" s="70">
        <f>calc!$AG$18</f>
        <v>17.113460009685127</v>
      </c>
      <c r="H18" s="67">
        <f t="shared" si="0"/>
        <v>256.70190014527691</v>
      </c>
      <c r="I18" s="1" t="str">
        <f>caldat!$T$18</f>
        <v>2020  04-12    02:27:32,8</v>
      </c>
      <c r="K18" s="35">
        <f t="shared" si="1"/>
        <v>15.265036924783715</v>
      </c>
    </row>
    <row r="19" spans="4:11">
      <c r="D19" s="35">
        <f>calc!$C$19</f>
        <v>3.3003055555555525</v>
      </c>
      <c r="E19" s="7">
        <f>'elev  az  illum'!$K$19</f>
        <v>17.595846035052091</v>
      </c>
      <c r="F19" s="47">
        <f>calc!$AF$19</f>
        <v>-23.439795581174248</v>
      </c>
      <c r="G19" s="70">
        <f>calc!$AG$19</f>
        <v>18.130011601252189</v>
      </c>
      <c r="H19" s="67">
        <f t="shared" si="0"/>
        <v>271.95017401878283</v>
      </c>
      <c r="I19" s="1" t="str">
        <f>caldat!$T$19</f>
        <v>2020  04-13    03:18:01,1</v>
      </c>
      <c r="K19" s="35">
        <f t="shared" si="1"/>
        <v>15.248273873505923</v>
      </c>
    </row>
    <row r="20" spans="4:11">
      <c r="D20" s="35">
        <f>calc!$C$20</f>
        <v>4.1414999999999971</v>
      </c>
      <c r="E20" s="7">
        <f>'elev  az  illum'!$K$20</f>
        <v>18.630895801819861</v>
      </c>
      <c r="F20" s="47">
        <f>calc!$AF$20</f>
        <v>-23.751479928819158</v>
      </c>
      <c r="G20" s="70">
        <f>calc!$AG$20</f>
        <v>19.125687145744372</v>
      </c>
      <c r="H20" s="67">
        <f t="shared" si="0"/>
        <v>286.88530718616556</v>
      </c>
      <c r="I20" s="1" t="str">
        <f>caldat!$T$20</f>
        <v>2020  04-14    04:08:29,4</v>
      </c>
      <c r="K20" s="35">
        <f t="shared" si="1"/>
        <v>14.93513316738273</v>
      </c>
    </row>
    <row r="21" spans="4:11">
      <c r="D21" s="35">
        <f>calc!$C$21</f>
        <v>4.9826944444444417</v>
      </c>
      <c r="E21" s="7">
        <f>'elev  az  illum'!$K$21</f>
        <v>19.665945568587631</v>
      </c>
      <c r="F21" s="47">
        <f>calc!$AF$21</f>
        <v>-22.696370343485786</v>
      </c>
      <c r="G21" s="70">
        <f>calc!$AG$21</f>
        <v>20.08286322599405</v>
      </c>
      <c r="H21" s="67">
        <f t="shared" si="0"/>
        <v>301.24294838991074</v>
      </c>
      <c r="I21" s="1" t="str">
        <f>caldat!$T$21</f>
        <v>2020  04-15    04:58:57,7</v>
      </c>
      <c r="K21" s="35">
        <f t="shared" si="1"/>
        <v>14.357641203745175</v>
      </c>
    </row>
    <row r="22" spans="4:11">
      <c r="D22" s="35">
        <f>calc!$C$22</f>
        <v>5.8238888888888862</v>
      </c>
      <c r="E22" s="7">
        <f>'elev  az  illum'!$K$22</f>
        <v>20.700995335355401</v>
      </c>
      <c r="F22" s="47">
        <f>calc!$AF$22</f>
        <v>-20.471082916794607</v>
      </c>
      <c r="G22" s="70">
        <f>calc!$AG$22</f>
        <v>20.991339904754597</v>
      </c>
      <c r="H22" s="67">
        <f t="shared" si="0"/>
        <v>314.87009857131898</v>
      </c>
      <c r="I22" s="1" t="str">
        <f>caldat!$T$22</f>
        <v>2020  04-16    05:49:26</v>
      </c>
      <c r="K22" s="35">
        <f t="shared" si="1"/>
        <v>13.62715018140824</v>
      </c>
    </row>
    <row r="23" spans="4:11">
      <c r="D23" s="35">
        <f>calc!$C$23</f>
        <v>6.6650833333333308</v>
      </c>
      <c r="E23" s="7">
        <f>'elev  az  illum'!$K$23</f>
        <v>21.736045102123171</v>
      </c>
      <c r="F23" s="47">
        <f>calc!$AF$23</f>
        <v>-17.299504634060288</v>
      </c>
      <c r="G23" s="70">
        <f>calc!$AG$23</f>
        <v>21.849669219755633</v>
      </c>
      <c r="H23" s="67">
        <f t="shared" si="0"/>
        <v>327.74503829633449</v>
      </c>
      <c r="I23" s="1" t="str">
        <f>caldat!$T$23</f>
        <v>2020  04-17    06:39:54,3</v>
      </c>
      <c r="K23" s="35">
        <f t="shared" si="1"/>
        <v>12.874939725015508</v>
      </c>
    </row>
    <row r="24" spans="4:11">
      <c r="D24" s="35">
        <f>calc!$C$24</f>
        <v>7.5062777777777754</v>
      </c>
      <c r="E24" s="7">
        <f>'elev  az  illum'!$K$24</f>
        <v>22.771094868890941</v>
      </c>
      <c r="F24" s="47">
        <f>calc!$AF$24</f>
        <v>-13.40059391147272</v>
      </c>
      <c r="G24" s="70">
        <f>calc!$AG$24</f>
        <v>22.663420219541262</v>
      </c>
      <c r="H24" s="67">
        <f t="shared" si="0"/>
        <v>339.95130329311894</v>
      </c>
      <c r="I24" s="1" t="str">
        <f>caldat!$T$24</f>
        <v>2020  04-18    07:30:22,6</v>
      </c>
      <c r="K24" s="35">
        <f t="shared" si="1"/>
        <v>12.206264996784455</v>
      </c>
    </row>
    <row r="25" spans="4:11">
      <c r="D25" s="35">
        <f>calc!$C$25</f>
        <v>8.3474722222222209</v>
      </c>
      <c r="E25" s="7">
        <f>'elev  az  illum'!$K$25</f>
        <v>23.806144635658711</v>
      </c>
      <c r="F25" s="47">
        <f>calc!$AF$25</f>
        <v>-8.9761106930225782</v>
      </c>
      <c r="G25" s="70">
        <f>calc!$AG$25</f>
        <v>23.442540063955473</v>
      </c>
      <c r="H25" s="67">
        <f t="shared" si="0"/>
        <v>351.63810095933212</v>
      </c>
      <c r="I25" s="1" t="str">
        <f>caldat!$T$25</f>
        <v>2020  04-19    08:20:50,9</v>
      </c>
      <c r="K25" s="35">
        <f t="shared" si="1"/>
        <v>11.686797666213181</v>
      </c>
    </row>
    <row r="26" spans="4:11">
      <c r="D26" s="35">
        <f>calc!$C$26</f>
        <v>9.1886666666666663</v>
      </c>
      <c r="E26" s="7">
        <f>'elev  az  illum'!$K$26</f>
        <v>24.841194402426481</v>
      </c>
      <c r="F26" s="47">
        <f>calc!$AF$26</f>
        <v>-4.2112542317767216</v>
      </c>
      <c r="G26" s="70">
        <f>calc!$AG$26</f>
        <v>0.19922104354642195</v>
      </c>
      <c r="H26" s="67">
        <f t="shared" si="0"/>
        <v>2.9883156531963291</v>
      </c>
      <c r="I26" s="1" t="str">
        <f>caldat!$T$26</f>
        <v>2020  04-20    09:11:19,2</v>
      </c>
      <c r="K26" s="35">
        <f>H26-H25+360</f>
        <v>11.350214693864189</v>
      </c>
    </row>
    <row r="27" spans="4:11">
      <c r="D27" s="35">
        <f>calc!$C$27</f>
        <v>10.029861111111112</v>
      </c>
      <c r="E27" s="7">
        <f>'elev  az  illum'!$K$27</f>
        <v>25.876244169194251</v>
      </c>
      <c r="F27" s="47">
        <f>calc!$AF$27</f>
        <v>0.71883900167280923</v>
      </c>
      <c r="G27" s="70">
        <f>calc!$AG$27</f>
        <v>0.94659822292815932</v>
      </c>
      <c r="H27" s="67">
        <f t="shared" si="0"/>
        <v>14.19897334392239</v>
      </c>
      <c r="I27" s="1" t="str">
        <f>caldat!$T$27</f>
        <v>2020  04-21    10:01:47,5</v>
      </c>
      <c r="K27" s="35">
        <f t="shared" ref="K27:K32" si="2">H27-H26</f>
        <v>11.210657690726061</v>
      </c>
    </row>
    <row r="28" spans="4:11">
      <c r="D28" s="35">
        <f>calc!$C$28</f>
        <v>10.871055555555557</v>
      </c>
      <c r="E28" s="7">
        <f>'elev  az  illum'!$K$28</f>
        <v>26.911293935962021</v>
      </c>
      <c r="F28" s="47">
        <f>calc!$AF$28</f>
        <v>5.6406726987533453</v>
      </c>
      <c r="G28" s="70">
        <f>calc!$AG$28</f>
        <v>1.6980290722802365</v>
      </c>
      <c r="H28" s="67">
        <f t="shared" si="0"/>
        <v>25.470436084203548</v>
      </c>
      <c r="I28" s="1" t="str">
        <f>caldat!$T$28</f>
        <v>2020  04-22    10:52:15,8</v>
      </c>
      <c r="K28" s="35">
        <f t="shared" si="2"/>
        <v>11.271462740281159</v>
      </c>
    </row>
    <row r="29" spans="4:11">
      <c r="D29" s="35">
        <f>calc!$C$29</f>
        <v>11.712250000000003</v>
      </c>
      <c r="E29" s="7">
        <f>'elev  az  illum'!$K$29</f>
        <v>27.946343702729791</v>
      </c>
      <c r="F29" s="47">
        <f>calc!$AF$29</f>
        <v>10.373832453830568</v>
      </c>
      <c r="G29" s="70">
        <f>calc!$AG$29</f>
        <v>2.4665612266914265</v>
      </c>
      <c r="H29" s="67">
        <f t="shared" si="0"/>
        <v>36.998418400371399</v>
      </c>
      <c r="I29" s="1" t="str">
        <f>caldat!$T$29</f>
        <v>2020  04-23    11:42:44,1</v>
      </c>
      <c r="K29" s="35">
        <f t="shared" si="2"/>
        <v>11.527982316167851</v>
      </c>
    </row>
    <row r="30" spans="4:11">
      <c r="D30" s="35">
        <f>calc!$C$30</f>
        <v>12.553444444444448</v>
      </c>
      <c r="E30" s="7">
        <f>'elev  az  illum'!$K$30</f>
        <v>28.981393469497561</v>
      </c>
      <c r="F30" s="47">
        <f>calc!$AF$30</f>
        <v>14.723784098759474</v>
      </c>
      <c r="G30" s="70">
        <f>calc!$AG$30</f>
        <v>3.2642108225298481</v>
      </c>
      <c r="H30" s="67">
        <f t="shared" si="0"/>
        <v>48.963162337947722</v>
      </c>
      <c r="I30" s="1" t="str">
        <f>caldat!$T$30</f>
        <v>2020  04-24    12:33:12,4</v>
      </c>
      <c r="K30" s="35">
        <f t="shared" si="2"/>
        <v>11.964743937576323</v>
      </c>
    </row>
    <row r="31" spans="4:11">
      <c r="D31" s="35">
        <f>calc!$C$31</f>
        <v>13.394638888888894</v>
      </c>
      <c r="E31" s="7">
        <f>'elev  az  illum'!$K$31</f>
        <v>30.016443236265332</v>
      </c>
      <c r="F31" s="47">
        <f>calc!$AF$31</f>
        <v>18.47841973852244</v>
      </c>
      <c r="G31" s="70">
        <f>calc!$AG$31</f>
        <v>4.1007423208264129</v>
      </c>
      <c r="H31" s="67">
        <f t="shared" si="0"/>
        <v>61.511134812396193</v>
      </c>
      <c r="I31" s="1" t="str">
        <f>caldat!$T$31</f>
        <v>2020  04-25    13:23:40,7</v>
      </c>
      <c r="K31" s="35">
        <f t="shared" si="2"/>
        <v>12.547972474448471</v>
      </c>
    </row>
    <row r="32" spans="4:11">
      <c r="D32" s="35">
        <f>calc!$C$32</f>
        <v>14.235833333333339</v>
      </c>
      <c r="E32" s="7">
        <f>'elev  az  illum'!$K$32</f>
        <v>31.051493003033102</v>
      </c>
      <c r="F32" s="47">
        <f>calc!$AF$32</f>
        <v>21.411881218526833</v>
      </c>
      <c r="G32" s="70">
        <f>calc!$AG$32</f>
        <v>4.9818293172778425</v>
      </c>
      <c r="H32" s="67">
        <f t="shared" si="0"/>
        <v>74.727439759167638</v>
      </c>
      <c r="I32" s="1" t="str">
        <f>caldat!$T$32</f>
        <v>2020  04-26    14:14:09</v>
      </c>
      <c r="K32" s="35">
        <f t="shared" si="2"/>
        <v>13.216304946771444</v>
      </c>
    </row>
    <row r="33" spans="4:11">
      <c r="D33" s="35">
        <f>calc!$C$33</f>
        <v>15.077027777777785</v>
      </c>
      <c r="E33" s="7">
        <f>'elev  az  illum'!$K$33</f>
        <v>32.086542769800872</v>
      </c>
      <c r="F33" s="47">
        <f>calc!$AF$33</f>
        <v>23.29939560333489</v>
      </c>
      <c r="G33" s="70">
        <f>calc!$AG$33</f>
        <v>5.9069411138329704</v>
      </c>
      <c r="H33" s="67">
        <f t="shared" si="0"/>
        <v>88.604116707494555</v>
      </c>
      <c r="I33" s="48" t="str">
        <f>caldat!$T$33</f>
        <v>2020  04-27    15:04:37,3</v>
      </c>
    </row>
    <row r="34" spans="4:11">
      <c r="D34" s="35">
        <f>calc!$C$34</f>
        <v>15.91822222222223</v>
      </c>
      <c r="E34" s="7">
        <f>'elev  az  illum'!$K$34</f>
        <v>33.121592536568642</v>
      </c>
      <c r="F34" s="47">
        <f>calc!$AF$34</f>
        <v>23.9444630741284</v>
      </c>
      <c r="G34" s="70">
        <f>calc!$AG$34</f>
        <v>6.8680342232042904</v>
      </c>
      <c r="H34" s="67">
        <f t="shared" ref="H34:H50" si="3">G34*15</f>
        <v>103.02051334806436</v>
      </c>
      <c r="I34" s="48" t="str">
        <f>caldat!$T$34</f>
        <v>2020  04-28    15:55:05,6</v>
      </c>
      <c r="K34" s="1">
        <f>AVERAGE(K30:K32)</f>
        <v>12.576340452932079</v>
      </c>
    </row>
    <row r="35" spans="4:11">
      <c r="D35" s="35">
        <f>calc!$C$35</f>
        <v>16.759416666666674</v>
      </c>
      <c r="E35" s="7">
        <f>'elev  az  illum'!$K$35</f>
        <v>34.156642303336412</v>
      </c>
      <c r="F35" s="47">
        <f>calc!$AF$35</f>
        <v>23.213715593386972</v>
      </c>
      <c r="G35" s="70">
        <f>calc!$AG$35</f>
        <v>7.850558681439459</v>
      </c>
      <c r="H35" s="67">
        <f t="shared" si="3"/>
        <v>117.75838022159189</v>
      </c>
      <c r="I35" s="48" t="str">
        <f>caldat!$T$35</f>
        <v>2020  04-29    16:45:33,9</v>
      </c>
    </row>
    <row r="36" spans="4:11">
      <c r="D36" s="35">
        <f>calc!$C$36</f>
        <v>17.600611111111117</v>
      </c>
      <c r="E36" s="7">
        <f>'elev  az  illum'!$K$36</f>
        <v>35.191692070104182</v>
      </c>
      <c r="F36" s="47">
        <f>calc!$AF$36</f>
        <v>21.067976301081249</v>
      </c>
      <c r="G36" s="70">
        <f>calc!$AG$36</f>
        <v>8.8374331807978663</v>
      </c>
      <c r="H36" s="67">
        <f t="shared" si="3"/>
        <v>132.561497711968</v>
      </c>
      <c r="I36" s="48" t="str">
        <f>caldat!$T$36</f>
        <v>2020  04-30    17:36:02,2</v>
      </c>
    </row>
    <row r="37" spans="4:11">
      <c r="D37" s="35">
        <f>calc!$C$37</f>
        <v>18.441805555555561</v>
      </c>
      <c r="E37" s="7">
        <f>'elev  az  illum'!$K$37</f>
        <v>36.226741836871952</v>
      </c>
      <c r="F37" s="47">
        <f>calc!$AF$37</f>
        <v>17.577624661808663</v>
      </c>
      <c r="G37" s="70">
        <f>calc!$AG$37</f>
        <v>9.8145588244427433</v>
      </c>
      <c r="H37" s="67">
        <f t="shared" si="3"/>
        <v>147.21838236664115</v>
      </c>
      <c r="I37" s="48" t="str">
        <f>caldat!$T$37</f>
        <v>2020  05-01    18:26:30,5</v>
      </c>
    </row>
    <row r="38" spans="4:11">
      <c r="D38" s="35">
        <f>calc!$C$38</f>
        <v>19.283000000000005</v>
      </c>
      <c r="E38" s="7">
        <f>'elev  az  illum'!$K$38</f>
        <v>37.261791603639722</v>
      </c>
      <c r="F38" s="47">
        <f>calc!$AF$38</f>
        <v>12.919330039602613</v>
      </c>
      <c r="G38" s="70">
        <f>calc!$AG$38</f>
        <v>10.77511761762201</v>
      </c>
      <c r="H38" s="67">
        <f t="shared" si="3"/>
        <v>161.62676426433015</v>
      </c>
      <c r="I38" s="48" t="str">
        <f>caldat!$T$38</f>
        <v>2020  05-02    19:16:58,8</v>
      </c>
    </row>
    <row r="39" spans="4:11">
      <c r="D39" s="35">
        <f>calc!$C$39</f>
        <v>20.124194444444448</v>
      </c>
      <c r="E39" s="7">
        <f>'elev  az  illum'!$K$39</f>
        <v>38.296841370407492</v>
      </c>
      <c r="F39" s="47">
        <f>calc!$AF$39</f>
        <v>7.3615459911693728</v>
      </c>
      <c r="G39" s="70">
        <f>calc!$AG$39</f>
        <v>11.720888388065442</v>
      </c>
      <c r="H39" s="67">
        <f t="shared" si="3"/>
        <v>175.81332582098162</v>
      </c>
      <c r="I39" s="48" t="str">
        <f>caldat!$T$39</f>
        <v>2020  05-03    20:07:27,1</v>
      </c>
    </row>
    <row r="40" spans="4:11">
      <c r="D40" s="35">
        <f>calc!$C$40</f>
        <v>20.965388888888892</v>
      </c>
      <c r="E40" s="7">
        <f>'elev  az  illum'!$K$40</f>
        <v>39.331891137175262</v>
      </c>
      <c r="F40" s="47">
        <f>calc!$AF$40</f>
        <v>1.2480323427026141</v>
      </c>
      <c r="G40" s="70">
        <f>calc!$AG$40</f>
        <v>12.660823156920879</v>
      </c>
      <c r="H40" s="67">
        <f t="shared" si="3"/>
        <v>189.91234735381317</v>
      </c>
      <c r="I40" s="48" t="str">
        <f>caldat!$T$40</f>
        <v>2020  05-04    20:57:55,4</v>
      </c>
    </row>
    <row r="41" spans="4:11">
      <c r="D41" s="35">
        <f>calc!$C$41</f>
        <v>21.806583333333336</v>
      </c>
      <c r="E41" s="7">
        <f>'elev  az  illum'!$K$41</f>
        <v>40.366940903943032</v>
      </c>
      <c r="F41" s="47">
        <f>calc!$AF$41</f>
        <v>-5.0176484034896403</v>
      </c>
      <c r="G41" s="70">
        <f>calc!$AG$41</f>
        <v>13.608030710542549</v>
      </c>
      <c r="H41" s="67">
        <f t="shared" si="3"/>
        <v>204.12046065813823</v>
      </c>
      <c r="I41" s="48" t="str">
        <f>caldat!$T$41</f>
        <v>2020  05-05    21:48:23,7</v>
      </c>
    </row>
    <row r="42" spans="4:11">
      <c r="D42" s="35">
        <f>calc!$C$42</f>
        <v>22.64777777777778</v>
      </c>
      <c r="E42" s="7">
        <f>'elev  az  illum'!$K$42</f>
        <v>41.401990670710802</v>
      </c>
      <c r="F42" s="47">
        <f>calc!$AF$42</f>
        <v>-10.991483519626541</v>
      </c>
      <c r="G42" s="70">
        <f>calc!$AG$42</f>
        <v>14.575875898908185</v>
      </c>
      <c r="H42" s="67">
        <f t="shared" si="3"/>
        <v>218.63813848362278</v>
      </c>
      <c r="I42" s="48" t="str">
        <f>caldat!$T$42</f>
        <v>2020  05-06    22:38:52</v>
      </c>
    </row>
    <row r="43" spans="4:11">
      <c r="D43" s="35">
        <f>calc!$C$43</f>
        <v>23.488972222222223</v>
      </c>
      <c r="E43" s="7">
        <f>'elev  az  illum'!$K$43</f>
        <v>42.437040437478572</v>
      </c>
      <c r="F43" s="47">
        <f>calc!$AF$43</f>
        <v>-16.221313958401591</v>
      </c>
      <c r="G43" s="70">
        <f>calc!$AG$43</f>
        <v>15.573321542187545</v>
      </c>
      <c r="H43" s="67">
        <f t="shared" si="3"/>
        <v>233.59982313281316</v>
      </c>
      <c r="I43" s="48" t="str">
        <f>caldat!$T$43</f>
        <v>2020  05-07    23:29:20,3</v>
      </c>
    </row>
    <row r="44" spans="4:11">
      <c r="D44" s="35">
        <f>calc!$C$44</f>
        <v>0.33016666666666694</v>
      </c>
      <c r="E44" s="7">
        <f>'elev  az  illum'!$K$44</f>
        <v>43.472090204246342</v>
      </c>
      <c r="F44" s="47">
        <f>calc!$AF$44</f>
        <v>-20.298967142609111</v>
      </c>
      <c r="G44" s="70">
        <f>calc!$AG$44</f>
        <v>16.600036542700813</v>
      </c>
      <c r="H44" s="67">
        <f t="shared" si="3"/>
        <v>249.00054814051219</v>
      </c>
      <c r="I44" s="48" t="str">
        <f>caldat!$T$44</f>
        <v>2020  05-09    00:19:48,6</v>
      </c>
    </row>
    <row r="45" spans="4:11">
      <c r="D45" s="35">
        <f>calc!$C$45</f>
        <v>1.1713611111111115</v>
      </c>
      <c r="E45" s="7">
        <f>'elev  az  illum'!$K$45</f>
        <v>44.507139971014112</v>
      </c>
      <c r="F45" s="47">
        <f>calc!$AF$45</f>
        <v>-22.927145443396309</v>
      </c>
      <c r="G45" s="70">
        <f>calc!$AG$45</f>
        <v>17.643371954212871</v>
      </c>
      <c r="H45" s="67">
        <f t="shared" si="3"/>
        <v>264.65057931319308</v>
      </c>
      <c r="I45" s="48" t="str">
        <f>caldat!$T$45</f>
        <v>2020  05-10    01:10:16,9</v>
      </c>
    </row>
    <row r="46" spans="4:11">
      <c r="D46" s="35">
        <f>calc!$C$46</f>
        <v>2.0125555555555561</v>
      </c>
      <c r="E46" s="7">
        <f>'elev  az  illum'!$K$46</f>
        <v>45.542189737781882</v>
      </c>
      <c r="F46" s="47">
        <f>calc!$AF$46</f>
        <v>-23.976463691833082</v>
      </c>
      <c r="G46" s="70">
        <f>calc!$AG$46</f>
        <v>18.680367163978158</v>
      </c>
      <c r="H46" s="67">
        <f t="shared" si="3"/>
        <v>280.20550745967239</v>
      </c>
      <c r="I46" s="48" t="str">
        <f>caldat!$T$46</f>
        <v>2020  05-11    02:00:45,2</v>
      </c>
    </row>
    <row r="47" spans="4:11">
      <c r="D47" s="35">
        <f>calc!$C$47</f>
        <v>2.8537500000000007</v>
      </c>
      <c r="E47" s="7">
        <f>'elev  az  illum'!$K$47</f>
        <v>46.577239504549652</v>
      </c>
      <c r="F47" s="47">
        <f>calc!$AF$47</f>
        <v>-23.498604544926572</v>
      </c>
      <c r="G47" s="70">
        <f>calc!$AG$47</f>
        <v>19.685510258917169</v>
      </c>
      <c r="H47" s="67">
        <f t="shared" si="3"/>
        <v>295.28265388375752</v>
      </c>
      <c r="I47" s="48" t="str">
        <f>caldat!$T$47</f>
        <v>2020  05-12    02:51:13,5</v>
      </c>
    </row>
    <row r="48" spans="4:11">
      <c r="D48" s="35">
        <f>calc!$C$48</f>
        <v>3.6949444444444453</v>
      </c>
      <c r="E48" s="7">
        <f>'elev  az  illum'!$K$48</f>
        <v>47.612289271317422</v>
      </c>
      <c r="F48" s="47">
        <f>calc!$AF$48</f>
        <v>-21.683334236607344</v>
      </c>
      <c r="G48" s="70">
        <f>calc!$AG$48</f>
        <v>20.639903648616656</v>
      </c>
      <c r="H48" s="67">
        <f t="shared" si="3"/>
        <v>309.59855472924983</v>
      </c>
      <c r="I48" s="48" t="str">
        <f>caldat!$T$48</f>
        <v>2020  05-13    03:41:41,8</v>
      </c>
    </row>
    <row r="49" spans="4:9">
      <c r="D49" s="35">
        <f>calc!$C$49</f>
        <v>4.5361388888888898</v>
      </c>
      <c r="E49" s="7">
        <f>'elev  az  illum'!$K$49</f>
        <v>48.647339038085192</v>
      </c>
      <c r="F49" s="47">
        <f>calc!$AF$49</f>
        <v>-18.785953098549623</v>
      </c>
      <c r="G49" s="70">
        <f>calc!$AG$49</f>
        <v>21.53611012350585</v>
      </c>
      <c r="H49" s="67">
        <f t="shared" si="3"/>
        <v>323.04165185258773</v>
      </c>
      <c r="I49" s="48" t="str">
        <f>caldat!$T$49</f>
        <v>2020  05-14    04:32:10,1</v>
      </c>
    </row>
    <row r="50" spans="4:9">
      <c r="D50" s="35">
        <f>calc!$C$50</f>
        <v>5.3773333333333344</v>
      </c>
      <c r="E50" s="7">
        <f>'elev  az  illum'!$K$50</f>
        <v>49.682388804852962</v>
      </c>
      <c r="F50" s="47">
        <f>calc!$AF$50</f>
        <v>-15.065426595880329</v>
      </c>
      <c r="G50" s="70">
        <f>calc!$AG$50</f>
        <v>22.377329544400617</v>
      </c>
      <c r="H50" s="67">
        <f t="shared" si="3"/>
        <v>335.65994316600927</v>
      </c>
      <c r="I50" s="48" t="str">
        <f>caldat!$T$50</f>
        <v>2020  05-15    05:22:38,4</v>
      </c>
    </row>
    <row r="51" spans="4:9">
      <c r="I51" s="48" t="str">
        <f>caldat!$T$51</f>
        <v>2020  05-16    06:13:06,7</v>
      </c>
    </row>
    <row r="52" spans="4:9">
      <c r="D52"/>
      <c r="E52" s="8" t="s">
        <v>56</v>
      </c>
      <c r="F52" s="47">
        <f>MAX(F2:F50)</f>
        <v>23.9444630741284</v>
      </c>
      <c r="I52" s="48" t="str">
        <f>caldat!$T$52</f>
        <v>2020  05-17    07:03:35</v>
      </c>
    </row>
    <row r="53" spans="4:9">
      <c r="D53"/>
      <c r="E53" s="8" t="s">
        <v>57</v>
      </c>
      <c r="F53" s="47">
        <f>MIN(F2:F50)</f>
        <v>-23.976463691833082</v>
      </c>
      <c r="I53" s="48" t="str">
        <f>caldat!$T$53</f>
        <v>2020  05-18    07:54:03,3</v>
      </c>
    </row>
    <row r="54" spans="4:9">
      <c r="I54" s="48" t="str">
        <f>caldat!$T$54</f>
        <v>2020  05-19    08:44:31,6</v>
      </c>
    </row>
    <row r="55" spans="4:9">
      <c r="I55" s="48" t="str">
        <f>caldat!$T$55</f>
        <v>2020  05-20    09:34:59,9</v>
      </c>
    </row>
    <row r="56" spans="4:9">
      <c r="I56" s="48" t="str">
        <f>caldat!$T$56</f>
        <v>2020  05-21    10:25:28,2</v>
      </c>
    </row>
    <row r="57" spans="4:9">
      <c r="I57" s="48" t="str">
        <f>caldat!$T$57</f>
        <v>2020  05-22    11:15:56,5</v>
      </c>
    </row>
    <row r="58" spans="4:9">
      <c r="I58" s="48" t="str">
        <f>caldat!$T$58</f>
        <v>2020  05-23    12:06:24,8</v>
      </c>
    </row>
    <row r="59" spans="4:9">
      <c r="I59" s="48" t="str">
        <f>caldat!$T$59</f>
        <v>2020  05-24    12:56:53,1</v>
      </c>
    </row>
    <row r="60" spans="4:9">
      <c r="I60" s="48" t="str">
        <f>caldat!$T$60</f>
        <v>2020  05-25    13:47:21,4</v>
      </c>
    </row>
    <row r="61" spans="4:9">
      <c r="I61" s="48" t="str">
        <f>caldat!$T$61</f>
        <v>2020  05-26    14:37:49,7</v>
      </c>
    </row>
    <row r="62" spans="4:9">
      <c r="I62" s="48" t="str">
        <f>caldat!$T$62</f>
        <v>2020  05-27    15:28:18</v>
      </c>
    </row>
    <row r="63" spans="4:9">
      <c r="I63" s="48" t="str">
        <f>caldat!$T$63</f>
        <v>2020  05-28    16:18:46,3</v>
      </c>
    </row>
  </sheetData>
  <pageMargins left="0" right="0" top="0" bottom="0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63"/>
  <sheetViews>
    <sheetView topLeftCell="E1" zoomScale="81" zoomScaleNormal="81" workbookViewId="0">
      <selection activeCell="N2" sqref="N2"/>
    </sheetView>
  </sheetViews>
  <sheetFormatPr baseColWidth="10" defaultColWidth="9.6640625" defaultRowHeight="16"/>
  <cols>
    <col min="1" max="2" width="12.5" style="17" customWidth="1"/>
    <col min="3" max="3" width="11.1640625" customWidth="1"/>
    <col min="4" max="4" width="8.5" customWidth="1"/>
    <col min="5" max="5" width="8.1640625" customWidth="1"/>
    <col min="8" max="8" width="8.33203125" customWidth="1"/>
    <col min="10" max="10" width="5.5" customWidth="1"/>
    <col min="11" max="11" width="7.1640625" customWidth="1"/>
    <col min="12" max="12" width="6.83203125" style="72" customWidth="1"/>
    <col min="13" max="13" width="7.83203125" customWidth="1"/>
    <col min="14" max="14" width="15.33203125" customWidth="1"/>
    <col min="15" max="15" width="6" style="17" customWidth="1"/>
    <col min="16" max="16" width="8.83203125" style="17" customWidth="1"/>
    <col min="17" max="17" width="8.83203125" style="73" customWidth="1"/>
    <col min="18" max="18" width="9" style="73" customWidth="1"/>
    <col min="19" max="19" width="8.5" customWidth="1"/>
    <col min="20" max="20" width="20.33203125" customWidth="1"/>
  </cols>
  <sheetData>
    <row r="1" spans="1:64">
      <c r="A1" s="17" t="s">
        <v>19</v>
      </c>
      <c r="B1" s="17" t="s">
        <v>68</v>
      </c>
      <c r="C1" s="17" t="s">
        <v>38</v>
      </c>
      <c r="D1" s="17" t="s">
        <v>27</v>
      </c>
      <c r="E1" s="17" t="s">
        <v>69</v>
      </c>
      <c r="F1" s="17" t="s">
        <v>70</v>
      </c>
      <c r="G1" s="17" t="s">
        <v>71</v>
      </c>
      <c r="H1" s="17" t="s">
        <v>72</v>
      </c>
      <c r="I1" s="17" t="s">
        <v>26</v>
      </c>
      <c r="J1" s="17" t="s">
        <v>73</v>
      </c>
      <c r="K1" s="17" t="s">
        <v>49</v>
      </c>
      <c r="L1" s="73" t="s">
        <v>74</v>
      </c>
      <c r="M1" s="17" t="s">
        <v>75</v>
      </c>
      <c r="N1" s="17" t="s">
        <v>7</v>
      </c>
      <c r="O1" s="17" t="s">
        <v>76</v>
      </c>
      <c r="Q1" s="73" t="s">
        <v>77</v>
      </c>
      <c r="R1" s="73" t="s">
        <v>78</v>
      </c>
      <c r="S1" s="17" t="s">
        <v>79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>
      <c r="A2" s="32">
        <f>calc!$K$2</f>
        <v>2458935.0416666665</v>
      </c>
      <c r="B2" s="17">
        <f t="shared" ref="B2:B33" si="0">A2+0.5</f>
        <v>2458935.5416666665</v>
      </c>
      <c r="C2" s="17">
        <f t="shared" ref="C2:C33" si="1">INT(B2)</f>
        <v>2458935</v>
      </c>
      <c r="D2" s="17">
        <f t="shared" ref="D2:D33" si="2">MOD(B2,1)</f>
        <v>0.54166666651144624</v>
      </c>
      <c r="E2" s="17">
        <f t="shared" ref="E2:E33" si="3">IF(C2&lt;2299161,C2,INT((C2-1867216.25)/36524.25))</f>
        <v>16</v>
      </c>
      <c r="F2" s="17">
        <f t="shared" ref="F2:F33" si="4">C2+1+E2-INT((E2/4))</f>
        <v>2458948</v>
      </c>
      <c r="G2" s="17">
        <f t="shared" ref="G2:G33" si="5">F2+1524</f>
        <v>2460472</v>
      </c>
      <c r="H2" s="17">
        <f t="shared" ref="H2:H33" si="6">INT((G2-122.1)/365.25)</f>
        <v>6736</v>
      </c>
      <c r="I2" s="17">
        <f t="shared" ref="I2:I33" si="7">INT(365.25*H2)</f>
        <v>2460324</v>
      </c>
      <c r="J2" s="17">
        <f t="shared" ref="J2:J33" si="8">INT((G2-I2)/30.6001)</f>
        <v>4</v>
      </c>
      <c r="K2" s="35">
        <f t="shared" ref="K2:K33" si="9">G2-I2-INT(30.6001*J2)+D2</f>
        <v>26.541666666511446</v>
      </c>
      <c r="L2" s="73">
        <f t="shared" ref="L2:L33" si="10">INT(K2)</f>
        <v>26</v>
      </c>
      <c r="M2" s="17" t="str">
        <f t="shared" ref="M2:M33" si="11">IF(IF(J2&lt;14,J2-1,J2-13)&lt;10,"0"&amp;IF(J2&lt;14,J2-1,J2-13),IF(J2&lt;14,J2-1,J2-13))</f>
        <v>03</v>
      </c>
      <c r="N2" s="51">
        <f t="shared" ref="N2:N33" si="12">24*MOD(K2,1)</f>
        <v>12.99999999627471</v>
      </c>
      <c r="O2" s="17">
        <f t="shared" ref="O2:O33" si="13">INT(N2)</f>
        <v>12</v>
      </c>
      <c r="P2" s="17">
        <f t="shared" ref="P2:P33" si="14">MOD(N2,1)*60</f>
        <v>59.999999776482582</v>
      </c>
      <c r="Q2" s="73">
        <f t="shared" ref="Q2:Q33" si="15">INT(MOD(N2,1)*60)</f>
        <v>59</v>
      </c>
      <c r="R2" s="74">
        <f t="shared" ref="R2:R33" si="16">MOD(P2,1)*60</f>
        <v>59.999986588954926</v>
      </c>
      <c r="S2" s="17">
        <f t="shared" ref="S2:S33" si="17">IF(M2&gt;2,H2-4716,H2-4715)</f>
        <v>2020</v>
      </c>
      <c r="T2" s="48" t="str">
        <f t="shared" ref="T2:T33" si="18">S2&amp;"  "&amp;M2&amp;"-"&amp;IF(L2&lt;10,"0","")&amp;L2&amp;"    "&amp;IF(O2&lt;10,"0","")&amp;O2&amp;":"&amp;IF(Q2&lt;10,"0"&amp;INT(Q2),INT(Q2))&amp;":"&amp;IF(ROUND(R2,1)&lt;10,"0"&amp;ROUND(R2,1),ROUND(R2,1))</f>
        <v>2020  03-26    12:59:60</v>
      </c>
    </row>
    <row r="3" spans="1:64">
      <c r="A3" s="25">
        <f>calc!$K$3</f>
        <v>2458936.0767164333</v>
      </c>
      <c r="B3" s="17">
        <f t="shared" si="0"/>
        <v>2458936.5767164333</v>
      </c>
      <c r="C3" s="17">
        <f t="shared" si="1"/>
        <v>2458936</v>
      </c>
      <c r="D3" s="17">
        <f t="shared" si="2"/>
        <v>0.57671643327921629</v>
      </c>
      <c r="E3" s="17">
        <f t="shared" si="3"/>
        <v>16</v>
      </c>
      <c r="F3" s="17">
        <f t="shared" si="4"/>
        <v>2458949</v>
      </c>
      <c r="G3" s="17">
        <f t="shared" si="5"/>
        <v>2460473</v>
      </c>
      <c r="H3" s="17">
        <f t="shared" si="6"/>
        <v>6736</v>
      </c>
      <c r="I3" s="17">
        <f t="shared" si="7"/>
        <v>2460324</v>
      </c>
      <c r="J3" s="17">
        <f t="shared" si="8"/>
        <v>4</v>
      </c>
      <c r="K3" s="35">
        <f t="shared" si="9"/>
        <v>27.576716433279216</v>
      </c>
      <c r="L3" s="73">
        <f t="shared" si="10"/>
        <v>27</v>
      </c>
      <c r="M3" s="17" t="str">
        <f t="shared" si="11"/>
        <v>03</v>
      </c>
      <c r="N3" s="35">
        <f t="shared" si="12"/>
        <v>13.841194398701191</v>
      </c>
      <c r="O3" s="17">
        <f t="shared" si="13"/>
        <v>13</v>
      </c>
      <c r="P3" s="17">
        <f t="shared" si="14"/>
        <v>50.471663922071457</v>
      </c>
      <c r="Q3" s="73">
        <f t="shared" si="15"/>
        <v>50</v>
      </c>
      <c r="R3" s="74">
        <f t="shared" si="16"/>
        <v>28.299835324287415</v>
      </c>
      <c r="S3" s="17">
        <f t="shared" si="17"/>
        <v>2020</v>
      </c>
      <c r="T3" s="48" t="str">
        <f t="shared" si="18"/>
        <v>2020  03-27    13:50:28,3</v>
      </c>
    </row>
    <row r="4" spans="1:64">
      <c r="A4" s="25">
        <f>calc!$K$4</f>
        <v>2458937.1117662</v>
      </c>
      <c r="B4" s="17">
        <f t="shared" si="0"/>
        <v>2458937.6117662</v>
      </c>
      <c r="C4" s="17">
        <f t="shared" si="1"/>
        <v>2458937</v>
      </c>
      <c r="D4" s="17">
        <f t="shared" si="2"/>
        <v>0.61176620004698634</v>
      </c>
      <c r="E4" s="17">
        <f t="shared" si="3"/>
        <v>16</v>
      </c>
      <c r="F4" s="17">
        <f t="shared" si="4"/>
        <v>2458950</v>
      </c>
      <c r="G4" s="17">
        <f t="shared" si="5"/>
        <v>2460474</v>
      </c>
      <c r="H4" s="17">
        <f t="shared" si="6"/>
        <v>6736</v>
      </c>
      <c r="I4" s="17">
        <f t="shared" si="7"/>
        <v>2460324</v>
      </c>
      <c r="J4" s="17">
        <f t="shared" si="8"/>
        <v>4</v>
      </c>
      <c r="K4" s="35">
        <f t="shared" si="9"/>
        <v>28.611766200046986</v>
      </c>
      <c r="L4" s="73">
        <f t="shared" si="10"/>
        <v>28</v>
      </c>
      <c r="M4" s="17" t="str">
        <f t="shared" si="11"/>
        <v>03</v>
      </c>
      <c r="N4" s="35">
        <f t="shared" si="12"/>
        <v>14.682388801127672</v>
      </c>
      <c r="O4" s="17">
        <f t="shared" si="13"/>
        <v>14</v>
      </c>
      <c r="P4" s="17">
        <f t="shared" si="14"/>
        <v>40.943328067660332</v>
      </c>
      <c r="Q4" s="73">
        <f t="shared" si="15"/>
        <v>40</v>
      </c>
      <c r="R4" s="74">
        <f t="shared" si="16"/>
        <v>56.599684059619904</v>
      </c>
      <c r="S4" s="17">
        <f t="shared" si="17"/>
        <v>2020</v>
      </c>
      <c r="T4" s="48" t="str">
        <f t="shared" si="18"/>
        <v>2020  03-28    14:40:56,6</v>
      </c>
    </row>
    <row r="5" spans="1:64">
      <c r="A5" s="25">
        <f>calc!$K$5</f>
        <v>2458938.1468159668</v>
      </c>
      <c r="B5" s="17">
        <f t="shared" si="0"/>
        <v>2458938.6468159668</v>
      </c>
      <c r="C5" s="17">
        <f t="shared" si="1"/>
        <v>2458938</v>
      </c>
      <c r="D5" s="17">
        <f t="shared" si="2"/>
        <v>0.64681596681475639</v>
      </c>
      <c r="E5" s="17">
        <f t="shared" si="3"/>
        <v>16</v>
      </c>
      <c r="F5" s="17">
        <f t="shared" si="4"/>
        <v>2458951</v>
      </c>
      <c r="G5" s="17">
        <f t="shared" si="5"/>
        <v>2460475</v>
      </c>
      <c r="H5" s="17">
        <f t="shared" si="6"/>
        <v>6736</v>
      </c>
      <c r="I5" s="17">
        <f t="shared" si="7"/>
        <v>2460324</v>
      </c>
      <c r="J5" s="17">
        <f t="shared" si="8"/>
        <v>4</v>
      </c>
      <c r="K5" s="35">
        <f t="shared" si="9"/>
        <v>29.646815966814756</v>
      </c>
      <c r="L5" s="73">
        <f t="shared" si="10"/>
        <v>29</v>
      </c>
      <c r="M5" s="17" t="str">
        <f t="shared" si="11"/>
        <v>03</v>
      </c>
      <c r="N5" s="35">
        <f t="shared" si="12"/>
        <v>15.523583203554153</v>
      </c>
      <c r="O5" s="17">
        <f t="shared" si="13"/>
        <v>15</v>
      </c>
      <c r="P5" s="17">
        <f t="shared" si="14"/>
        <v>31.414992213249207</v>
      </c>
      <c r="Q5" s="73">
        <f t="shared" si="15"/>
        <v>31</v>
      </c>
      <c r="R5" s="74">
        <f t="shared" si="16"/>
        <v>24.899532794952393</v>
      </c>
      <c r="S5" s="17">
        <f t="shared" si="17"/>
        <v>2020</v>
      </c>
      <c r="T5" s="48" t="str">
        <f t="shared" si="18"/>
        <v>2020  03-29    15:31:24,9</v>
      </c>
    </row>
    <row r="6" spans="1:64">
      <c r="A6" s="25">
        <f>calc!$K$6</f>
        <v>2458939.1818657336</v>
      </c>
      <c r="B6" s="17">
        <f t="shared" si="0"/>
        <v>2458939.6818657336</v>
      </c>
      <c r="C6" s="17">
        <f t="shared" si="1"/>
        <v>2458939</v>
      </c>
      <c r="D6" s="17">
        <f t="shared" si="2"/>
        <v>0.68186573358252645</v>
      </c>
      <c r="E6" s="17">
        <f t="shared" si="3"/>
        <v>16</v>
      </c>
      <c r="F6" s="17">
        <f t="shared" si="4"/>
        <v>2458952</v>
      </c>
      <c r="G6" s="17">
        <f t="shared" si="5"/>
        <v>2460476</v>
      </c>
      <c r="H6" s="17">
        <f t="shared" si="6"/>
        <v>6736</v>
      </c>
      <c r="I6" s="17">
        <f t="shared" si="7"/>
        <v>2460324</v>
      </c>
      <c r="J6" s="17">
        <f t="shared" si="8"/>
        <v>4</v>
      </c>
      <c r="K6" s="35">
        <f t="shared" si="9"/>
        <v>30.681865733582526</v>
      </c>
      <c r="L6" s="73">
        <f t="shared" si="10"/>
        <v>30</v>
      </c>
      <c r="M6" s="17" t="str">
        <f t="shared" si="11"/>
        <v>03</v>
      </c>
      <c r="N6" s="35">
        <f t="shared" si="12"/>
        <v>16.364777605980635</v>
      </c>
      <c r="O6" s="17">
        <f t="shared" si="13"/>
        <v>16</v>
      </c>
      <c r="P6" s="17">
        <f t="shared" si="14"/>
        <v>21.886656358838081</v>
      </c>
      <c r="Q6" s="73">
        <f t="shared" si="15"/>
        <v>21</v>
      </c>
      <c r="R6" s="74">
        <f t="shared" si="16"/>
        <v>53.199381530284882</v>
      </c>
      <c r="S6" s="17">
        <f t="shared" si="17"/>
        <v>2020</v>
      </c>
      <c r="T6" s="48" t="str">
        <f t="shared" si="18"/>
        <v>2020  03-30    16:21:53,2</v>
      </c>
    </row>
    <row r="7" spans="1:64">
      <c r="A7" s="25">
        <f>calc!$K$7</f>
        <v>2458940.2169155004</v>
      </c>
      <c r="B7" s="17">
        <f t="shared" si="0"/>
        <v>2458940.7169155004</v>
      </c>
      <c r="C7" s="17">
        <f t="shared" si="1"/>
        <v>2458940</v>
      </c>
      <c r="D7" s="17">
        <f t="shared" si="2"/>
        <v>0.7169155003502965</v>
      </c>
      <c r="E7" s="17">
        <f t="shared" si="3"/>
        <v>16</v>
      </c>
      <c r="F7" s="17">
        <f t="shared" si="4"/>
        <v>2458953</v>
      </c>
      <c r="G7" s="17">
        <f t="shared" si="5"/>
        <v>2460477</v>
      </c>
      <c r="H7" s="17">
        <f t="shared" si="6"/>
        <v>6736</v>
      </c>
      <c r="I7" s="17">
        <f t="shared" si="7"/>
        <v>2460324</v>
      </c>
      <c r="J7" s="17">
        <f t="shared" si="8"/>
        <v>4</v>
      </c>
      <c r="K7" s="35">
        <f t="shared" si="9"/>
        <v>31.716915500350296</v>
      </c>
      <c r="L7" s="73">
        <f t="shared" si="10"/>
        <v>31</v>
      </c>
      <c r="M7" s="17" t="str">
        <f t="shared" si="11"/>
        <v>03</v>
      </c>
      <c r="N7" s="35">
        <f t="shared" si="12"/>
        <v>17.205972008407116</v>
      </c>
      <c r="O7" s="17">
        <f t="shared" si="13"/>
        <v>17</v>
      </c>
      <c r="P7" s="17">
        <f t="shared" si="14"/>
        <v>12.358320504426956</v>
      </c>
      <c r="Q7" s="73">
        <f t="shared" si="15"/>
        <v>12</v>
      </c>
      <c r="R7" s="74">
        <f t="shared" si="16"/>
        <v>21.499230265617371</v>
      </c>
      <c r="S7" s="17">
        <f t="shared" si="17"/>
        <v>2020</v>
      </c>
      <c r="T7" s="48" t="str">
        <f t="shared" si="18"/>
        <v>2020  03-31    17:12:21,5</v>
      </c>
    </row>
    <row r="8" spans="1:64">
      <c r="A8" s="25">
        <f>calc!$K$8</f>
        <v>2458941.2519652671</v>
      </c>
      <c r="B8" s="17">
        <f t="shared" si="0"/>
        <v>2458941.7519652671</v>
      </c>
      <c r="C8" s="17">
        <f t="shared" si="1"/>
        <v>2458941</v>
      </c>
      <c r="D8" s="17">
        <f t="shared" si="2"/>
        <v>0.75196526711806655</v>
      </c>
      <c r="E8" s="17">
        <f t="shared" si="3"/>
        <v>16</v>
      </c>
      <c r="F8" s="17">
        <f t="shared" si="4"/>
        <v>2458954</v>
      </c>
      <c r="G8" s="17">
        <f t="shared" si="5"/>
        <v>2460478</v>
      </c>
      <c r="H8" s="17">
        <f t="shared" si="6"/>
        <v>6736</v>
      </c>
      <c r="I8" s="17">
        <f t="shared" si="7"/>
        <v>2460324</v>
      </c>
      <c r="J8" s="17">
        <f t="shared" si="8"/>
        <v>5</v>
      </c>
      <c r="K8" s="35">
        <f t="shared" si="9"/>
        <v>1.7519652671180665</v>
      </c>
      <c r="L8" s="73">
        <f t="shared" si="10"/>
        <v>1</v>
      </c>
      <c r="M8" s="17" t="str">
        <f t="shared" si="11"/>
        <v>04</v>
      </c>
      <c r="N8" s="35">
        <f t="shared" si="12"/>
        <v>18.047166410833597</v>
      </c>
      <c r="O8" s="17">
        <f t="shared" si="13"/>
        <v>18</v>
      </c>
      <c r="P8" s="17">
        <f t="shared" si="14"/>
        <v>2.829984650015831</v>
      </c>
      <c r="Q8" s="73">
        <f t="shared" si="15"/>
        <v>2</v>
      </c>
      <c r="R8" s="74">
        <f t="shared" si="16"/>
        <v>49.79907900094986</v>
      </c>
      <c r="S8" s="17">
        <f t="shared" si="17"/>
        <v>2020</v>
      </c>
      <c r="T8" s="48" t="str">
        <f t="shared" si="18"/>
        <v>2020  04-01    18:02:49,8</v>
      </c>
    </row>
    <row r="9" spans="1:64">
      <c r="A9" s="25">
        <f>calc!$K$9</f>
        <v>2458942.2870150339</v>
      </c>
      <c r="B9" s="17">
        <f t="shared" si="0"/>
        <v>2458942.7870150339</v>
      </c>
      <c r="C9" s="17">
        <f t="shared" si="1"/>
        <v>2458942</v>
      </c>
      <c r="D9" s="17">
        <f t="shared" si="2"/>
        <v>0.7870150338858366</v>
      </c>
      <c r="E9" s="17">
        <f t="shared" si="3"/>
        <v>16</v>
      </c>
      <c r="F9" s="17">
        <f t="shared" si="4"/>
        <v>2458955</v>
      </c>
      <c r="G9" s="17">
        <f t="shared" si="5"/>
        <v>2460479</v>
      </c>
      <c r="H9" s="17">
        <f t="shared" si="6"/>
        <v>6736</v>
      </c>
      <c r="I9" s="17">
        <f t="shared" si="7"/>
        <v>2460324</v>
      </c>
      <c r="J9" s="17">
        <f t="shared" si="8"/>
        <v>5</v>
      </c>
      <c r="K9" s="35">
        <f t="shared" si="9"/>
        <v>2.7870150338858366</v>
      </c>
      <c r="L9" s="73">
        <f t="shared" si="10"/>
        <v>2</v>
      </c>
      <c r="M9" s="17" t="str">
        <f t="shared" si="11"/>
        <v>04</v>
      </c>
      <c r="N9" s="35">
        <f t="shared" si="12"/>
        <v>18.888360813260078</v>
      </c>
      <c r="O9" s="17">
        <f t="shared" si="13"/>
        <v>18</v>
      </c>
      <c r="P9" s="17">
        <f t="shared" si="14"/>
        <v>53.301648795604706</v>
      </c>
      <c r="Q9" s="73">
        <f t="shared" si="15"/>
        <v>53</v>
      </c>
      <c r="R9" s="74">
        <f t="shared" si="16"/>
        <v>18.098927736282349</v>
      </c>
      <c r="S9" s="17">
        <f t="shared" si="17"/>
        <v>2020</v>
      </c>
      <c r="T9" s="48" t="str">
        <f t="shared" si="18"/>
        <v>2020  04-02    18:53:18,1</v>
      </c>
    </row>
    <row r="10" spans="1:64">
      <c r="A10" s="25">
        <f>calc!$K$10</f>
        <v>2458943.3220648007</v>
      </c>
      <c r="B10" s="17">
        <f t="shared" si="0"/>
        <v>2458943.8220648007</v>
      </c>
      <c r="C10" s="17">
        <f t="shared" si="1"/>
        <v>2458943</v>
      </c>
      <c r="D10" s="17">
        <f t="shared" si="2"/>
        <v>0.82206480065360665</v>
      </c>
      <c r="E10" s="17">
        <f t="shared" si="3"/>
        <v>16</v>
      </c>
      <c r="F10" s="17">
        <f t="shared" si="4"/>
        <v>2458956</v>
      </c>
      <c r="G10" s="17">
        <f t="shared" si="5"/>
        <v>2460480</v>
      </c>
      <c r="H10" s="17">
        <f t="shared" si="6"/>
        <v>6736</v>
      </c>
      <c r="I10" s="17">
        <f t="shared" si="7"/>
        <v>2460324</v>
      </c>
      <c r="J10" s="17">
        <f t="shared" si="8"/>
        <v>5</v>
      </c>
      <c r="K10" s="35">
        <f t="shared" si="9"/>
        <v>3.8220648006536067</v>
      </c>
      <c r="L10" s="73">
        <f t="shared" si="10"/>
        <v>3</v>
      </c>
      <c r="M10" s="17" t="str">
        <f t="shared" si="11"/>
        <v>04</v>
      </c>
      <c r="N10" s="35">
        <f t="shared" si="12"/>
        <v>19.72955521568656</v>
      </c>
      <c r="O10" s="17">
        <f t="shared" si="13"/>
        <v>19</v>
      </c>
      <c r="P10" s="17">
        <f t="shared" si="14"/>
        <v>43.773312941193581</v>
      </c>
      <c r="Q10" s="73">
        <f t="shared" si="15"/>
        <v>43</v>
      </c>
      <c r="R10" s="74">
        <f t="shared" si="16"/>
        <v>46.398776471614838</v>
      </c>
      <c r="S10" s="17">
        <f t="shared" si="17"/>
        <v>2020</v>
      </c>
      <c r="T10" s="48" t="str">
        <f t="shared" si="18"/>
        <v>2020  04-03    19:43:46,4</v>
      </c>
    </row>
    <row r="11" spans="1:64">
      <c r="A11" s="25">
        <f>calc!$K$11</f>
        <v>2458944.3571145674</v>
      </c>
      <c r="B11" s="17">
        <f t="shared" si="0"/>
        <v>2458944.8571145674</v>
      </c>
      <c r="C11" s="17">
        <f t="shared" si="1"/>
        <v>2458944</v>
      </c>
      <c r="D11" s="17">
        <f t="shared" si="2"/>
        <v>0.85711456742137671</v>
      </c>
      <c r="E11" s="17">
        <f t="shared" si="3"/>
        <v>16</v>
      </c>
      <c r="F11" s="17">
        <f t="shared" si="4"/>
        <v>2458957</v>
      </c>
      <c r="G11" s="17">
        <f t="shared" si="5"/>
        <v>2460481</v>
      </c>
      <c r="H11" s="17">
        <f t="shared" si="6"/>
        <v>6736</v>
      </c>
      <c r="I11" s="17">
        <f t="shared" si="7"/>
        <v>2460324</v>
      </c>
      <c r="J11" s="17">
        <f t="shared" si="8"/>
        <v>5</v>
      </c>
      <c r="K11" s="35">
        <f t="shared" si="9"/>
        <v>4.8571145674213767</v>
      </c>
      <c r="L11" s="73">
        <f t="shared" si="10"/>
        <v>4</v>
      </c>
      <c r="M11" s="17" t="str">
        <f t="shared" si="11"/>
        <v>04</v>
      </c>
      <c r="N11" s="35">
        <f t="shared" si="12"/>
        <v>20.570749618113041</v>
      </c>
      <c r="O11" s="17">
        <f t="shared" si="13"/>
        <v>20</v>
      </c>
      <c r="P11" s="17">
        <f t="shared" si="14"/>
        <v>34.244977086782455</v>
      </c>
      <c r="Q11" s="73">
        <f t="shared" si="15"/>
        <v>34</v>
      </c>
      <c r="R11" s="74">
        <f t="shared" si="16"/>
        <v>14.698625206947327</v>
      </c>
      <c r="S11" s="17">
        <f t="shared" si="17"/>
        <v>2020</v>
      </c>
      <c r="T11" s="48" t="str">
        <f t="shared" si="18"/>
        <v>2020  04-04    20:34:14,7</v>
      </c>
    </row>
    <row r="12" spans="1:64">
      <c r="A12" s="25">
        <f>calc!$K$12</f>
        <v>2458945.3921643342</v>
      </c>
      <c r="B12" s="17">
        <f t="shared" si="0"/>
        <v>2458945.8921643342</v>
      </c>
      <c r="C12" s="17">
        <f t="shared" si="1"/>
        <v>2458945</v>
      </c>
      <c r="D12" s="17">
        <f t="shared" si="2"/>
        <v>0.89216433418914676</v>
      </c>
      <c r="E12" s="17">
        <f t="shared" si="3"/>
        <v>16</v>
      </c>
      <c r="F12" s="17">
        <f t="shared" si="4"/>
        <v>2458958</v>
      </c>
      <c r="G12" s="17">
        <f t="shared" si="5"/>
        <v>2460482</v>
      </c>
      <c r="H12" s="17">
        <f t="shared" si="6"/>
        <v>6736</v>
      </c>
      <c r="I12" s="17">
        <f t="shared" si="7"/>
        <v>2460324</v>
      </c>
      <c r="J12" s="17">
        <f t="shared" si="8"/>
        <v>5</v>
      </c>
      <c r="K12" s="35">
        <f t="shared" si="9"/>
        <v>5.8921643341891468</v>
      </c>
      <c r="L12" s="73">
        <f t="shared" si="10"/>
        <v>5</v>
      </c>
      <c r="M12" s="17" t="str">
        <f t="shared" si="11"/>
        <v>04</v>
      </c>
      <c r="N12" s="35">
        <f t="shared" si="12"/>
        <v>21.411944020539522</v>
      </c>
      <c r="O12" s="17">
        <f t="shared" si="13"/>
        <v>21</v>
      </c>
      <c r="P12" s="17">
        <f t="shared" si="14"/>
        <v>24.71664123237133</v>
      </c>
      <c r="Q12" s="73">
        <f t="shared" si="15"/>
        <v>24</v>
      </c>
      <c r="R12" s="74">
        <f t="shared" si="16"/>
        <v>42.998473942279816</v>
      </c>
      <c r="S12" s="17">
        <f t="shared" si="17"/>
        <v>2020</v>
      </c>
      <c r="T12" s="48" t="str">
        <f t="shared" si="18"/>
        <v>2020  04-05    21:24:43</v>
      </c>
    </row>
    <row r="13" spans="1:64">
      <c r="A13" s="25">
        <f>calc!$K$13</f>
        <v>2458946.427214101</v>
      </c>
      <c r="B13" s="17">
        <f t="shared" si="0"/>
        <v>2458946.927214101</v>
      </c>
      <c r="C13" s="17">
        <f t="shared" si="1"/>
        <v>2458946</v>
      </c>
      <c r="D13" s="17">
        <f t="shared" si="2"/>
        <v>0.92721410095691681</v>
      </c>
      <c r="E13" s="17">
        <f t="shared" si="3"/>
        <v>16</v>
      </c>
      <c r="F13" s="17">
        <f t="shared" si="4"/>
        <v>2458959</v>
      </c>
      <c r="G13" s="17">
        <f t="shared" si="5"/>
        <v>2460483</v>
      </c>
      <c r="H13" s="17">
        <f t="shared" si="6"/>
        <v>6736</v>
      </c>
      <c r="I13" s="17">
        <f t="shared" si="7"/>
        <v>2460324</v>
      </c>
      <c r="J13" s="17">
        <f t="shared" si="8"/>
        <v>5</v>
      </c>
      <c r="K13" s="35">
        <f t="shared" si="9"/>
        <v>6.9272141009569168</v>
      </c>
      <c r="L13" s="73">
        <f t="shared" si="10"/>
        <v>6</v>
      </c>
      <c r="M13" s="17" t="str">
        <f t="shared" si="11"/>
        <v>04</v>
      </c>
      <c r="N13" s="35">
        <f t="shared" si="12"/>
        <v>22.253138422966003</v>
      </c>
      <c r="O13" s="17">
        <f t="shared" si="13"/>
        <v>22</v>
      </c>
      <c r="P13" s="17">
        <f t="shared" si="14"/>
        <v>15.188305377960205</v>
      </c>
      <c r="Q13" s="73">
        <f t="shared" si="15"/>
        <v>15</v>
      </c>
      <c r="R13" s="74">
        <f t="shared" si="16"/>
        <v>11.298322677612305</v>
      </c>
      <c r="S13" s="17">
        <f t="shared" si="17"/>
        <v>2020</v>
      </c>
      <c r="T13" s="48" t="str">
        <f t="shared" si="18"/>
        <v>2020  04-06    22:15:11,3</v>
      </c>
    </row>
    <row r="14" spans="1:64">
      <c r="A14" s="25">
        <f>calc!$K$14</f>
        <v>2458947.4622638677</v>
      </c>
      <c r="B14" s="17">
        <f t="shared" si="0"/>
        <v>2458947.9622638677</v>
      </c>
      <c r="C14" s="17">
        <f t="shared" si="1"/>
        <v>2458947</v>
      </c>
      <c r="D14" s="17">
        <f t="shared" si="2"/>
        <v>0.96226386772468686</v>
      </c>
      <c r="E14" s="17">
        <f t="shared" si="3"/>
        <v>16</v>
      </c>
      <c r="F14" s="17">
        <f t="shared" si="4"/>
        <v>2458960</v>
      </c>
      <c r="G14" s="17">
        <f t="shared" si="5"/>
        <v>2460484</v>
      </c>
      <c r="H14" s="17">
        <f t="shared" si="6"/>
        <v>6736</v>
      </c>
      <c r="I14" s="17">
        <f t="shared" si="7"/>
        <v>2460324</v>
      </c>
      <c r="J14" s="17">
        <f t="shared" si="8"/>
        <v>5</v>
      </c>
      <c r="K14" s="35">
        <f t="shared" si="9"/>
        <v>7.9622638677246869</v>
      </c>
      <c r="L14" s="73">
        <f t="shared" si="10"/>
        <v>7</v>
      </c>
      <c r="M14" s="17" t="str">
        <f t="shared" si="11"/>
        <v>04</v>
      </c>
      <c r="N14" s="35">
        <f t="shared" si="12"/>
        <v>23.094332825392485</v>
      </c>
      <c r="O14" s="17">
        <f t="shared" si="13"/>
        <v>23</v>
      </c>
      <c r="P14" s="17">
        <f t="shared" si="14"/>
        <v>5.6599695235490799</v>
      </c>
      <c r="Q14" s="73">
        <f t="shared" si="15"/>
        <v>5</v>
      </c>
      <c r="R14" s="74">
        <f t="shared" si="16"/>
        <v>39.598171412944794</v>
      </c>
      <c r="S14" s="17">
        <f t="shared" si="17"/>
        <v>2020</v>
      </c>
      <c r="T14" s="48" t="str">
        <f t="shared" si="18"/>
        <v>2020  04-07    23:05:39,6</v>
      </c>
    </row>
    <row r="15" spans="1:64">
      <c r="A15" s="25">
        <f>calc!$K$15</f>
        <v>2458948.4973136345</v>
      </c>
      <c r="B15" s="17">
        <f t="shared" si="0"/>
        <v>2458948.9973136345</v>
      </c>
      <c r="C15" s="17">
        <f t="shared" si="1"/>
        <v>2458948</v>
      </c>
      <c r="D15" s="17">
        <f t="shared" si="2"/>
        <v>0.99731363449245691</v>
      </c>
      <c r="E15" s="17">
        <f t="shared" si="3"/>
        <v>16</v>
      </c>
      <c r="F15" s="17">
        <f t="shared" si="4"/>
        <v>2458961</v>
      </c>
      <c r="G15" s="17">
        <f t="shared" si="5"/>
        <v>2460485</v>
      </c>
      <c r="H15" s="17">
        <f t="shared" si="6"/>
        <v>6736</v>
      </c>
      <c r="I15" s="17">
        <f t="shared" si="7"/>
        <v>2460324</v>
      </c>
      <c r="J15" s="17">
        <f t="shared" si="8"/>
        <v>5</v>
      </c>
      <c r="K15" s="35">
        <f t="shared" si="9"/>
        <v>8.9973136344924569</v>
      </c>
      <c r="L15" s="73">
        <f t="shared" si="10"/>
        <v>8</v>
      </c>
      <c r="M15" s="17" t="str">
        <f t="shared" si="11"/>
        <v>04</v>
      </c>
      <c r="N15" s="35">
        <f t="shared" si="12"/>
        <v>23.935527227818966</v>
      </c>
      <c r="O15" s="17">
        <f t="shared" si="13"/>
        <v>23</v>
      </c>
      <c r="P15" s="17">
        <f t="shared" si="14"/>
        <v>56.131633669137955</v>
      </c>
      <c r="Q15" s="73">
        <f t="shared" si="15"/>
        <v>56</v>
      </c>
      <c r="R15" s="74">
        <f t="shared" si="16"/>
        <v>7.8980201482772827</v>
      </c>
      <c r="S15" s="17">
        <f t="shared" si="17"/>
        <v>2020</v>
      </c>
      <c r="T15" s="48" t="str">
        <f t="shared" si="18"/>
        <v>2020  04-08    23:56:07,9</v>
      </c>
    </row>
    <row r="16" spans="1:64">
      <c r="A16" s="25">
        <f>calc!$K$16</f>
        <v>2458949.5323634013</v>
      </c>
      <c r="B16" s="17">
        <f t="shared" si="0"/>
        <v>2458950.0323634013</v>
      </c>
      <c r="C16" s="17">
        <f t="shared" si="1"/>
        <v>2458950</v>
      </c>
      <c r="D16" s="17">
        <f t="shared" si="2"/>
        <v>3.2363401260226965E-2</v>
      </c>
      <c r="E16" s="17">
        <f t="shared" si="3"/>
        <v>16</v>
      </c>
      <c r="F16" s="17">
        <f t="shared" si="4"/>
        <v>2458963</v>
      </c>
      <c r="G16" s="17">
        <f t="shared" si="5"/>
        <v>2460487</v>
      </c>
      <c r="H16" s="17">
        <f t="shared" si="6"/>
        <v>6736</v>
      </c>
      <c r="I16" s="17">
        <f t="shared" si="7"/>
        <v>2460324</v>
      </c>
      <c r="J16" s="17">
        <f t="shared" si="8"/>
        <v>5</v>
      </c>
      <c r="K16" s="35">
        <f t="shared" si="9"/>
        <v>10.032363401260227</v>
      </c>
      <c r="L16" s="73">
        <f t="shared" si="10"/>
        <v>10</v>
      </c>
      <c r="M16" s="17" t="str">
        <f t="shared" si="11"/>
        <v>04</v>
      </c>
      <c r="N16" s="35">
        <f t="shared" si="12"/>
        <v>0.77672163024544716</v>
      </c>
      <c r="O16" s="17">
        <f t="shared" si="13"/>
        <v>0</v>
      </c>
      <c r="P16" s="17">
        <f t="shared" si="14"/>
        <v>46.60329781472683</v>
      </c>
      <c r="Q16" s="73">
        <f t="shared" si="15"/>
        <v>46</v>
      </c>
      <c r="R16" s="74">
        <f t="shared" si="16"/>
        <v>36.197868883609772</v>
      </c>
      <c r="S16" s="17">
        <f t="shared" si="17"/>
        <v>2020</v>
      </c>
      <c r="T16" s="48" t="str">
        <f t="shared" si="18"/>
        <v>2020  04-10    00:46:36,2</v>
      </c>
    </row>
    <row r="17" spans="1:20">
      <c r="A17" s="25">
        <f>calc!$K$17</f>
        <v>2458950.567413168</v>
      </c>
      <c r="B17" s="17">
        <f t="shared" si="0"/>
        <v>2458951.067413168</v>
      </c>
      <c r="C17" s="17">
        <f t="shared" si="1"/>
        <v>2458951</v>
      </c>
      <c r="D17" s="17">
        <f t="shared" si="2"/>
        <v>6.7413168027997017E-2</v>
      </c>
      <c r="E17" s="17">
        <f t="shared" si="3"/>
        <v>16</v>
      </c>
      <c r="F17" s="17">
        <f t="shared" si="4"/>
        <v>2458964</v>
      </c>
      <c r="G17" s="17">
        <f t="shared" si="5"/>
        <v>2460488</v>
      </c>
      <c r="H17" s="17">
        <f t="shared" si="6"/>
        <v>6736</v>
      </c>
      <c r="I17" s="17">
        <f t="shared" si="7"/>
        <v>2460324</v>
      </c>
      <c r="J17" s="17">
        <f t="shared" si="8"/>
        <v>5</v>
      </c>
      <c r="K17" s="35">
        <f t="shared" si="9"/>
        <v>11.067413168027997</v>
      </c>
      <c r="L17" s="73">
        <f t="shared" si="10"/>
        <v>11</v>
      </c>
      <c r="M17" s="17" t="str">
        <f t="shared" si="11"/>
        <v>04</v>
      </c>
      <c r="N17" s="35">
        <f t="shared" si="12"/>
        <v>1.6179160326719284</v>
      </c>
      <c r="O17" s="17">
        <f t="shared" si="13"/>
        <v>1</v>
      </c>
      <c r="P17" s="17">
        <f t="shared" si="14"/>
        <v>37.074961960315704</v>
      </c>
      <c r="Q17" s="73">
        <f t="shared" si="15"/>
        <v>37</v>
      </c>
      <c r="R17" s="74">
        <f t="shared" si="16"/>
        <v>4.4977176189422607</v>
      </c>
      <c r="S17" s="17">
        <f t="shared" si="17"/>
        <v>2020</v>
      </c>
      <c r="T17" s="48" t="str">
        <f t="shared" si="18"/>
        <v>2020  04-11    01:37:04,5</v>
      </c>
    </row>
    <row r="18" spans="1:20">
      <c r="A18" s="25">
        <f>calc!$K$18</f>
        <v>2458951.6024629348</v>
      </c>
      <c r="B18" s="17">
        <f t="shared" si="0"/>
        <v>2458952.1024629348</v>
      </c>
      <c r="C18" s="17">
        <f t="shared" si="1"/>
        <v>2458952</v>
      </c>
      <c r="D18" s="17">
        <f t="shared" si="2"/>
        <v>0.10246293479576707</v>
      </c>
      <c r="E18" s="17">
        <f t="shared" si="3"/>
        <v>16</v>
      </c>
      <c r="F18" s="17">
        <f t="shared" si="4"/>
        <v>2458965</v>
      </c>
      <c r="G18" s="17">
        <f t="shared" si="5"/>
        <v>2460489</v>
      </c>
      <c r="H18" s="17">
        <f t="shared" si="6"/>
        <v>6736</v>
      </c>
      <c r="I18" s="17">
        <f t="shared" si="7"/>
        <v>2460324</v>
      </c>
      <c r="J18" s="17">
        <f t="shared" si="8"/>
        <v>5</v>
      </c>
      <c r="K18" s="35">
        <f t="shared" si="9"/>
        <v>12.102462934795767</v>
      </c>
      <c r="L18" s="73">
        <f t="shared" si="10"/>
        <v>12</v>
      </c>
      <c r="M18" s="17" t="str">
        <f t="shared" si="11"/>
        <v>04</v>
      </c>
      <c r="N18" s="35">
        <f t="shared" si="12"/>
        <v>2.4591104350984097</v>
      </c>
      <c r="O18" s="17">
        <f t="shared" si="13"/>
        <v>2</v>
      </c>
      <c r="P18" s="17">
        <f t="shared" si="14"/>
        <v>27.546626105904579</v>
      </c>
      <c r="Q18" s="73">
        <f t="shared" si="15"/>
        <v>27</v>
      </c>
      <c r="R18" s="74">
        <f t="shared" si="16"/>
        <v>32.79756635427475</v>
      </c>
      <c r="S18" s="17">
        <f t="shared" si="17"/>
        <v>2020</v>
      </c>
      <c r="T18" s="48" t="str">
        <f t="shared" si="18"/>
        <v>2020  04-12    02:27:32,8</v>
      </c>
    </row>
    <row r="19" spans="1:20">
      <c r="A19" s="25">
        <f>calc!$K$19</f>
        <v>2458952.6375127016</v>
      </c>
      <c r="B19" s="17">
        <f t="shared" si="0"/>
        <v>2458953.1375127016</v>
      </c>
      <c r="C19" s="17">
        <f t="shared" si="1"/>
        <v>2458953</v>
      </c>
      <c r="D19" s="17">
        <f t="shared" si="2"/>
        <v>0.13751270156353712</v>
      </c>
      <c r="E19" s="17">
        <f t="shared" si="3"/>
        <v>16</v>
      </c>
      <c r="F19" s="17">
        <f t="shared" si="4"/>
        <v>2458966</v>
      </c>
      <c r="G19" s="17">
        <f t="shared" si="5"/>
        <v>2460490</v>
      </c>
      <c r="H19" s="17">
        <f t="shared" si="6"/>
        <v>6736</v>
      </c>
      <c r="I19" s="17">
        <f t="shared" si="7"/>
        <v>2460324</v>
      </c>
      <c r="J19" s="17">
        <f t="shared" si="8"/>
        <v>5</v>
      </c>
      <c r="K19" s="35">
        <f t="shared" si="9"/>
        <v>13.137512701563537</v>
      </c>
      <c r="L19" s="73">
        <f t="shared" si="10"/>
        <v>13</v>
      </c>
      <c r="M19" s="17" t="str">
        <f t="shared" si="11"/>
        <v>04</v>
      </c>
      <c r="N19" s="35">
        <f t="shared" si="12"/>
        <v>3.3003048375248909</v>
      </c>
      <c r="O19" s="17">
        <f t="shared" si="13"/>
        <v>3</v>
      </c>
      <c r="P19" s="17">
        <f t="shared" si="14"/>
        <v>18.018290251493454</v>
      </c>
      <c r="Q19" s="73">
        <f t="shared" si="15"/>
        <v>18</v>
      </c>
      <c r="R19" s="74">
        <f t="shared" si="16"/>
        <v>1.0974150896072388</v>
      </c>
      <c r="S19" s="17">
        <f t="shared" si="17"/>
        <v>2020</v>
      </c>
      <c r="T19" s="48" t="str">
        <f t="shared" si="18"/>
        <v>2020  04-13    03:18:01,1</v>
      </c>
    </row>
    <row r="20" spans="1:20">
      <c r="A20" s="25">
        <f>calc!$K$20</f>
        <v>2458953.6725624683</v>
      </c>
      <c r="B20" s="17">
        <f t="shared" si="0"/>
        <v>2458954.1725624683</v>
      </c>
      <c r="C20" s="17">
        <f t="shared" si="1"/>
        <v>2458954</v>
      </c>
      <c r="D20" s="17">
        <f t="shared" si="2"/>
        <v>0.17256246833130717</v>
      </c>
      <c r="E20" s="17">
        <f t="shared" si="3"/>
        <v>16</v>
      </c>
      <c r="F20" s="17">
        <f t="shared" si="4"/>
        <v>2458967</v>
      </c>
      <c r="G20" s="17">
        <f t="shared" si="5"/>
        <v>2460491</v>
      </c>
      <c r="H20" s="17">
        <f t="shared" si="6"/>
        <v>6736</v>
      </c>
      <c r="I20" s="17">
        <f t="shared" si="7"/>
        <v>2460324</v>
      </c>
      <c r="J20" s="17">
        <f t="shared" si="8"/>
        <v>5</v>
      </c>
      <c r="K20" s="35">
        <f t="shared" si="9"/>
        <v>14.172562468331307</v>
      </c>
      <c r="L20" s="73">
        <f t="shared" si="10"/>
        <v>14</v>
      </c>
      <c r="M20" s="17" t="str">
        <f t="shared" si="11"/>
        <v>04</v>
      </c>
      <c r="N20" s="35">
        <f t="shared" si="12"/>
        <v>4.1414992399513721</v>
      </c>
      <c r="O20" s="17">
        <f t="shared" si="13"/>
        <v>4</v>
      </c>
      <c r="P20" s="17">
        <f t="shared" si="14"/>
        <v>8.4899543970823288</v>
      </c>
      <c r="Q20" s="73">
        <f t="shared" si="15"/>
        <v>8</v>
      </c>
      <c r="R20" s="74">
        <f t="shared" si="16"/>
        <v>29.397263824939728</v>
      </c>
      <c r="S20" s="17">
        <f t="shared" si="17"/>
        <v>2020</v>
      </c>
      <c r="T20" s="48" t="str">
        <f t="shared" si="18"/>
        <v>2020  04-14    04:08:29,4</v>
      </c>
    </row>
    <row r="21" spans="1:20">
      <c r="A21" s="25">
        <f>calc!$K$21</f>
        <v>2458954.7076122351</v>
      </c>
      <c r="B21" s="17">
        <f t="shared" si="0"/>
        <v>2458955.2076122351</v>
      </c>
      <c r="C21" s="17">
        <f t="shared" si="1"/>
        <v>2458955</v>
      </c>
      <c r="D21" s="17">
        <f t="shared" si="2"/>
        <v>0.20761223509907722</v>
      </c>
      <c r="E21" s="17">
        <f t="shared" si="3"/>
        <v>16</v>
      </c>
      <c r="F21" s="17">
        <f t="shared" si="4"/>
        <v>2458968</v>
      </c>
      <c r="G21" s="17">
        <f t="shared" si="5"/>
        <v>2460492</v>
      </c>
      <c r="H21" s="17">
        <f t="shared" si="6"/>
        <v>6736</v>
      </c>
      <c r="I21" s="17">
        <f t="shared" si="7"/>
        <v>2460324</v>
      </c>
      <c r="J21" s="17">
        <f t="shared" si="8"/>
        <v>5</v>
      </c>
      <c r="K21" s="35">
        <f t="shared" si="9"/>
        <v>15.207612235099077</v>
      </c>
      <c r="L21" s="73">
        <f t="shared" si="10"/>
        <v>15</v>
      </c>
      <c r="M21" s="17" t="str">
        <f t="shared" si="11"/>
        <v>04</v>
      </c>
      <c r="N21" s="35">
        <f t="shared" si="12"/>
        <v>4.9826936423778534</v>
      </c>
      <c r="O21" s="17">
        <f t="shared" si="13"/>
        <v>4</v>
      </c>
      <c r="P21" s="17">
        <f t="shared" si="14"/>
        <v>58.961618542671204</v>
      </c>
      <c r="Q21" s="73">
        <f t="shared" si="15"/>
        <v>58</v>
      </c>
      <c r="R21" s="74">
        <f t="shared" si="16"/>
        <v>57.697112560272217</v>
      </c>
      <c r="S21" s="17">
        <f t="shared" si="17"/>
        <v>2020</v>
      </c>
      <c r="T21" s="48" t="str">
        <f t="shared" si="18"/>
        <v>2020  04-15    04:58:57,7</v>
      </c>
    </row>
    <row r="22" spans="1:20">
      <c r="A22" s="25">
        <f>calc!$K$22</f>
        <v>2458955.7426620019</v>
      </c>
      <c r="B22" s="17">
        <f t="shared" si="0"/>
        <v>2458956.2426620019</v>
      </c>
      <c r="C22" s="17">
        <f t="shared" si="1"/>
        <v>2458956</v>
      </c>
      <c r="D22" s="17">
        <f t="shared" si="2"/>
        <v>0.24266200186684728</v>
      </c>
      <c r="E22" s="17">
        <f t="shared" si="3"/>
        <v>16</v>
      </c>
      <c r="F22" s="17">
        <f t="shared" si="4"/>
        <v>2458969</v>
      </c>
      <c r="G22" s="17">
        <f t="shared" si="5"/>
        <v>2460493</v>
      </c>
      <c r="H22" s="17">
        <f t="shared" si="6"/>
        <v>6736</v>
      </c>
      <c r="I22" s="17">
        <f t="shared" si="7"/>
        <v>2460324</v>
      </c>
      <c r="J22" s="17">
        <f t="shared" si="8"/>
        <v>5</v>
      </c>
      <c r="K22" s="35">
        <f t="shared" si="9"/>
        <v>16.242662001866847</v>
      </c>
      <c r="L22" s="73">
        <f t="shared" si="10"/>
        <v>16</v>
      </c>
      <c r="M22" s="17" t="str">
        <f t="shared" si="11"/>
        <v>04</v>
      </c>
      <c r="N22" s="35">
        <f t="shared" si="12"/>
        <v>5.8238880448043346</v>
      </c>
      <c r="O22" s="17">
        <f t="shared" si="13"/>
        <v>5</v>
      </c>
      <c r="P22" s="17">
        <f t="shared" si="14"/>
        <v>49.433282688260078</v>
      </c>
      <c r="Q22" s="73">
        <f t="shared" si="15"/>
        <v>49</v>
      </c>
      <c r="R22" s="74">
        <f t="shared" si="16"/>
        <v>25.996961295604706</v>
      </c>
      <c r="S22" s="17">
        <f t="shared" si="17"/>
        <v>2020</v>
      </c>
      <c r="T22" s="48" t="str">
        <f t="shared" si="18"/>
        <v>2020  04-16    05:49:26</v>
      </c>
    </row>
    <row r="23" spans="1:20">
      <c r="A23" s="25">
        <f>calc!$K$23</f>
        <v>2458956.7777117686</v>
      </c>
      <c r="B23" s="17">
        <f t="shared" si="0"/>
        <v>2458957.2777117686</v>
      </c>
      <c r="C23" s="17">
        <f t="shared" si="1"/>
        <v>2458957</v>
      </c>
      <c r="D23" s="17">
        <f t="shared" si="2"/>
        <v>0.27771176863461733</v>
      </c>
      <c r="E23" s="17">
        <f t="shared" si="3"/>
        <v>16</v>
      </c>
      <c r="F23" s="17">
        <f t="shared" si="4"/>
        <v>2458970</v>
      </c>
      <c r="G23" s="17">
        <f t="shared" si="5"/>
        <v>2460494</v>
      </c>
      <c r="H23" s="17">
        <f t="shared" si="6"/>
        <v>6736</v>
      </c>
      <c r="I23" s="17">
        <f t="shared" si="7"/>
        <v>2460324</v>
      </c>
      <c r="J23" s="17">
        <f t="shared" si="8"/>
        <v>5</v>
      </c>
      <c r="K23" s="35">
        <f t="shared" si="9"/>
        <v>17.277711768634617</v>
      </c>
      <c r="L23" s="73">
        <f t="shared" si="10"/>
        <v>17</v>
      </c>
      <c r="M23" s="17" t="str">
        <f t="shared" si="11"/>
        <v>04</v>
      </c>
      <c r="N23" s="35">
        <f t="shared" si="12"/>
        <v>6.6650824472308159</v>
      </c>
      <c r="O23" s="17">
        <f t="shared" si="13"/>
        <v>6</v>
      </c>
      <c r="P23" s="17">
        <f t="shared" si="14"/>
        <v>39.904946833848953</v>
      </c>
      <c r="Q23" s="73">
        <f t="shared" si="15"/>
        <v>39</v>
      </c>
      <c r="R23" s="74">
        <f t="shared" si="16"/>
        <v>54.296810030937195</v>
      </c>
      <c r="S23" s="17">
        <f t="shared" si="17"/>
        <v>2020</v>
      </c>
      <c r="T23" s="48" t="str">
        <f t="shared" si="18"/>
        <v>2020  04-17    06:39:54,3</v>
      </c>
    </row>
    <row r="24" spans="1:20">
      <c r="A24" s="25">
        <f>calc!$K$24</f>
        <v>2458957.8127615354</v>
      </c>
      <c r="B24" s="17">
        <f t="shared" si="0"/>
        <v>2458958.3127615354</v>
      </c>
      <c r="C24" s="17">
        <f t="shared" si="1"/>
        <v>2458958</v>
      </c>
      <c r="D24" s="17">
        <f t="shared" si="2"/>
        <v>0.31276153540238738</v>
      </c>
      <c r="E24" s="17">
        <f t="shared" si="3"/>
        <v>16</v>
      </c>
      <c r="F24" s="17">
        <f t="shared" si="4"/>
        <v>2458971</v>
      </c>
      <c r="G24" s="17">
        <f t="shared" si="5"/>
        <v>2460495</v>
      </c>
      <c r="H24" s="17">
        <f t="shared" si="6"/>
        <v>6736</v>
      </c>
      <c r="I24" s="17">
        <f t="shared" si="7"/>
        <v>2460324</v>
      </c>
      <c r="J24" s="17">
        <f t="shared" si="8"/>
        <v>5</v>
      </c>
      <c r="K24" s="35">
        <f t="shared" si="9"/>
        <v>18.312761535402387</v>
      </c>
      <c r="L24" s="73">
        <f t="shared" si="10"/>
        <v>18</v>
      </c>
      <c r="M24" s="17" t="str">
        <f t="shared" si="11"/>
        <v>04</v>
      </c>
      <c r="N24" s="35">
        <f t="shared" si="12"/>
        <v>7.5062768496572971</v>
      </c>
      <c r="O24" s="17">
        <f t="shared" si="13"/>
        <v>7</v>
      </c>
      <c r="P24" s="17">
        <f t="shared" si="14"/>
        <v>30.376610979437828</v>
      </c>
      <c r="Q24" s="73">
        <f t="shared" si="15"/>
        <v>30</v>
      </c>
      <c r="R24" s="74">
        <f t="shared" si="16"/>
        <v>22.596658766269684</v>
      </c>
      <c r="S24" s="17">
        <f t="shared" si="17"/>
        <v>2020</v>
      </c>
      <c r="T24" s="48" t="str">
        <f t="shared" si="18"/>
        <v>2020  04-18    07:30:22,6</v>
      </c>
    </row>
    <row r="25" spans="1:20">
      <c r="A25" s="25">
        <f>calc!$K$25</f>
        <v>2458958.8478113022</v>
      </c>
      <c r="B25" s="17">
        <f t="shared" si="0"/>
        <v>2458959.3478113022</v>
      </c>
      <c r="C25" s="17">
        <f t="shared" si="1"/>
        <v>2458959</v>
      </c>
      <c r="D25" s="17">
        <f t="shared" si="2"/>
        <v>0.34781130217015743</v>
      </c>
      <c r="E25" s="17">
        <f t="shared" si="3"/>
        <v>16</v>
      </c>
      <c r="F25" s="17">
        <f t="shared" si="4"/>
        <v>2458972</v>
      </c>
      <c r="G25" s="17">
        <f t="shared" si="5"/>
        <v>2460496</v>
      </c>
      <c r="H25" s="17">
        <f t="shared" si="6"/>
        <v>6736</v>
      </c>
      <c r="I25" s="17">
        <f t="shared" si="7"/>
        <v>2460324</v>
      </c>
      <c r="J25" s="17">
        <f t="shared" si="8"/>
        <v>5</v>
      </c>
      <c r="K25" s="35">
        <f t="shared" si="9"/>
        <v>19.347811302170157</v>
      </c>
      <c r="L25" s="73">
        <f t="shared" si="10"/>
        <v>19</v>
      </c>
      <c r="M25" s="17" t="str">
        <f t="shared" si="11"/>
        <v>04</v>
      </c>
      <c r="N25" s="35">
        <f t="shared" si="12"/>
        <v>8.3474712520837784</v>
      </c>
      <c r="O25" s="17">
        <f t="shared" si="13"/>
        <v>8</v>
      </c>
      <c r="P25" s="17">
        <f t="shared" si="14"/>
        <v>20.848275125026703</v>
      </c>
      <c r="Q25" s="73">
        <f t="shared" si="15"/>
        <v>20</v>
      </c>
      <c r="R25" s="74">
        <f t="shared" si="16"/>
        <v>50.896507501602173</v>
      </c>
      <c r="S25" s="17">
        <f t="shared" si="17"/>
        <v>2020</v>
      </c>
      <c r="T25" s="48" t="str">
        <f t="shared" si="18"/>
        <v>2020  04-19    08:20:50,9</v>
      </c>
    </row>
    <row r="26" spans="1:20">
      <c r="A26" s="25">
        <f>calc!$K$26</f>
        <v>2458959.8828610689</v>
      </c>
      <c r="B26" s="17">
        <f t="shared" si="0"/>
        <v>2458960.3828610689</v>
      </c>
      <c r="C26" s="17">
        <f t="shared" si="1"/>
        <v>2458960</v>
      </c>
      <c r="D26" s="17">
        <f t="shared" si="2"/>
        <v>0.38286106893792748</v>
      </c>
      <c r="E26" s="17">
        <f t="shared" si="3"/>
        <v>16</v>
      </c>
      <c r="F26" s="17">
        <f t="shared" si="4"/>
        <v>2458973</v>
      </c>
      <c r="G26" s="17">
        <f t="shared" si="5"/>
        <v>2460497</v>
      </c>
      <c r="H26" s="17">
        <f t="shared" si="6"/>
        <v>6736</v>
      </c>
      <c r="I26" s="17">
        <f t="shared" si="7"/>
        <v>2460324</v>
      </c>
      <c r="J26" s="17">
        <f t="shared" si="8"/>
        <v>5</v>
      </c>
      <c r="K26" s="35">
        <f t="shared" si="9"/>
        <v>20.382861068937927</v>
      </c>
      <c r="L26" s="73">
        <f t="shared" si="10"/>
        <v>20</v>
      </c>
      <c r="M26" s="17" t="str">
        <f t="shared" si="11"/>
        <v>04</v>
      </c>
      <c r="N26" s="35">
        <f t="shared" si="12"/>
        <v>9.1886656545102596</v>
      </c>
      <c r="O26" s="17">
        <f t="shared" si="13"/>
        <v>9</v>
      </c>
      <c r="P26" s="17">
        <f t="shared" si="14"/>
        <v>11.319939270615578</v>
      </c>
      <c r="Q26" s="73">
        <f t="shared" si="15"/>
        <v>11</v>
      </c>
      <c r="R26" s="74">
        <f t="shared" si="16"/>
        <v>19.196356236934662</v>
      </c>
      <c r="S26" s="17">
        <f t="shared" si="17"/>
        <v>2020</v>
      </c>
      <c r="T26" s="48" t="str">
        <f t="shared" si="18"/>
        <v>2020  04-20    09:11:19,2</v>
      </c>
    </row>
    <row r="27" spans="1:20">
      <c r="A27" s="25">
        <f>calc!$K$27</f>
        <v>2458960.9179108357</v>
      </c>
      <c r="B27" s="17">
        <f t="shared" si="0"/>
        <v>2458961.4179108357</v>
      </c>
      <c r="C27" s="17">
        <f t="shared" si="1"/>
        <v>2458961</v>
      </c>
      <c r="D27" s="17">
        <f t="shared" si="2"/>
        <v>0.41791083570569754</v>
      </c>
      <c r="E27" s="17">
        <f t="shared" si="3"/>
        <v>16</v>
      </c>
      <c r="F27" s="17">
        <f t="shared" si="4"/>
        <v>2458974</v>
      </c>
      <c r="G27" s="17">
        <f t="shared" si="5"/>
        <v>2460498</v>
      </c>
      <c r="H27" s="17">
        <f t="shared" si="6"/>
        <v>6736</v>
      </c>
      <c r="I27" s="17">
        <f t="shared" si="7"/>
        <v>2460324</v>
      </c>
      <c r="J27" s="17">
        <f t="shared" si="8"/>
        <v>5</v>
      </c>
      <c r="K27" s="35">
        <f t="shared" si="9"/>
        <v>21.417910835705698</v>
      </c>
      <c r="L27" s="73">
        <f t="shared" si="10"/>
        <v>21</v>
      </c>
      <c r="M27" s="17" t="str">
        <f t="shared" si="11"/>
        <v>04</v>
      </c>
      <c r="N27" s="35">
        <f t="shared" si="12"/>
        <v>10.029860056936741</v>
      </c>
      <c r="O27" s="17">
        <f t="shared" si="13"/>
        <v>10</v>
      </c>
      <c r="P27" s="17">
        <f t="shared" si="14"/>
        <v>1.7916034162044525</v>
      </c>
      <c r="Q27" s="73">
        <f t="shared" si="15"/>
        <v>1</v>
      </c>
      <c r="R27" s="74">
        <f t="shared" si="16"/>
        <v>47.496204972267151</v>
      </c>
      <c r="S27" s="17">
        <f t="shared" si="17"/>
        <v>2020</v>
      </c>
      <c r="T27" s="48" t="str">
        <f t="shared" si="18"/>
        <v>2020  04-21    10:01:47,5</v>
      </c>
    </row>
    <row r="28" spans="1:20">
      <c r="A28" s="25">
        <f>calc!$K$28</f>
        <v>2458961.9529606025</v>
      </c>
      <c r="B28" s="17">
        <f t="shared" si="0"/>
        <v>2458962.4529606025</v>
      </c>
      <c r="C28" s="17">
        <f t="shared" si="1"/>
        <v>2458962</v>
      </c>
      <c r="D28" s="17">
        <f t="shared" si="2"/>
        <v>0.45296060247346759</v>
      </c>
      <c r="E28" s="17">
        <f t="shared" si="3"/>
        <v>16</v>
      </c>
      <c r="F28" s="17">
        <f t="shared" si="4"/>
        <v>2458975</v>
      </c>
      <c r="G28" s="17">
        <f t="shared" si="5"/>
        <v>2460499</v>
      </c>
      <c r="H28" s="17">
        <f t="shared" si="6"/>
        <v>6736</v>
      </c>
      <c r="I28" s="17">
        <f t="shared" si="7"/>
        <v>2460324</v>
      </c>
      <c r="J28" s="17">
        <f t="shared" si="8"/>
        <v>5</v>
      </c>
      <c r="K28" s="35">
        <f t="shared" si="9"/>
        <v>22.452960602473468</v>
      </c>
      <c r="L28" s="73">
        <f t="shared" si="10"/>
        <v>22</v>
      </c>
      <c r="M28" s="17" t="str">
        <f t="shared" si="11"/>
        <v>04</v>
      </c>
      <c r="N28" s="35">
        <f t="shared" si="12"/>
        <v>10.871054459363222</v>
      </c>
      <c r="O28" s="17">
        <f t="shared" si="13"/>
        <v>10</v>
      </c>
      <c r="P28" s="17">
        <f t="shared" si="14"/>
        <v>52.263267561793327</v>
      </c>
      <c r="Q28" s="73">
        <f t="shared" si="15"/>
        <v>52</v>
      </c>
      <c r="R28" s="74">
        <f t="shared" si="16"/>
        <v>15.79605370759964</v>
      </c>
      <c r="S28" s="17">
        <f t="shared" si="17"/>
        <v>2020</v>
      </c>
      <c r="T28" s="48" t="str">
        <f t="shared" si="18"/>
        <v>2020  04-22    10:52:15,8</v>
      </c>
    </row>
    <row r="29" spans="1:20">
      <c r="A29" s="25">
        <f>calc!$K$29</f>
        <v>2458962.9880103692</v>
      </c>
      <c r="B29" s="17">
        <f t="shared" si="0"/>
        <v>2458963.4880103692</v>
      </c>
      <c r="C29" s="17">
        <f t="shared" si="1"/>
        <v>2458963</v>
      </c>
      <c r="D29" s="17">
        <f t="shared" si="2"/>
        <v>0.48801036924123764</v>
      </c>
      <c r="E29" s="17">
        <f t="shared" si="3"/>
        <v>16</v>
      </c>
      <c r="F29" s="17">
        <f t="shared" si="4"/>
        <v>2458976</v>
      </c>
      <c r="G29" s="17">
        <f t="shared" si="5"/>
        <v>2460500</v>
      </c>
      <c r="H29" s="17">
        <f t="shared" si="6"/>
        <v>6736</v>
      </c>
      <c r="I29" s="17">
        <f t="shared" si="7"/>
        <v>2460324</v>
      </c>
      <c r="J29" s="17">
        <f t="shared" si="8"/>
        <v>5</v>
      </c>
      <c r="K29" s="35">
        <f t="shared" si="9"/>
        <v>23.488010369241238</v>
      </c>
      <c r="L29" s="73">
        <f t="shared" si="10"/>
        <v>23</v>
      </c>
      <c r="M29" s="17" t="str">
        <f t="shared" si="11"/>
        <v>04</v>
      </c>
      <c r="N29" s="35">
        <f t="shared" si="12"/>
        <v>11.712248861789703</v>
      </c>
      <c r="O29" s="17">
        <f t="shared" si="13"/>
        <v>11</v>
      </c>
      <c r="P29" s="17">
        <f t="shared" si="14"/>
        <v>42.734931707382202</v>
      </c>
      <c r="Q29" s="73">
        <f t="shared" si="15"/>
        <v>42</v>
      </c>
      <c r="R29" s="74">
        <f t="shared" si="16"/>
        <v>44.095902442932129</v>
      </c>
      <c r="S29" s="17">
        <f t="shared" si="17"/>
        <v>2020</v>
      </c>
      <c r="T29" s="48" t="str">
        <f t="shared" si="18"/>
        <v>2020  04-23    11:42:44,1</v>
      </c>
    </row>
    <row r="30" spans="1:20">
      <c r="A30" s="25">
        <f>calc!$K$30</f>
        <v>2458964.023060136</v>
      </c>
      <c r="B30" s="17">
        <f t="shared" si="0"/>
        <v>2458964.523060136</v>
      </c>
      <c r="C30" s="17">
        <f t="shared" si="1"/>
        <v>2458964</v>
      </c>
      <c r="D30" s="17">
        <f t="shared" si="2"/>
        <v>0.52306013600900769</v>
      </c>
      <c r="E30" s="17">
        <f t="shared" si="3"/>
        <v>16</v>
      </c>
      <c r="F30" s="17">
        <f t="shared" si="4"/>
        <v>2458977</v>
      </c>
      <c r="G30" s="17">
        <f t="shared" si="5"/>
        <v>2460501</v>
      </c>
      <c r="H30" s="17">
        <f t="shared" si="6"/>
        <v>6736</v>
      </c>
      <c r="I30" s="17">
        <f t="shared" si="7"/>
        <v>2460324</v>
      </c>
      <c r="J30" s="17">
        <f t="shared" si="8"/>
        <v>5</v>
      </c>
      <c r="K30" s="35">
        <f t="shared" si="9"/>
        <v>24.523060136009008</v>
      </c>
      <c r="L30" s="73">
        <f t="shared" si="10"/>
        <v>24</v>
      </c>
      <c r="M30" s="17" t="str">
        <f t="shared" si="11"/>
        <v>04</v>
      </c>
      <c r="N30" s="35">
        <f t="shared" si="12"/>
        <v>12.553443264216185</v>
      </c>
      <c r="O30" s="17">
        <f t="shared" si="13"/>
        <v>12</v>
      </c>
      <c r="P30" s="17">
        <f t="shared" si="14"/>
        <v>33.206595852971077</v>
      </c>
      <c r="Q30" s="73">
        <f t="shared" si="15"/>
        <v>33</v>
      </c>
      <c r="R30" s="74">
        <f t="shared" si="16"/>
        <v>12.395751178264618</v>
      </c>
      <c r="S30" s="17">
        <f t="shared" si="17"/>
        <v>2020</v>
      </c>
      <c r="T30" s="48" t="str">
        <f t="shared" si="18"/>
        <v>2020  04-24    12:33:12,4</v>
      </c>
    </row>
    <row r="31" spans="1:20">
      <c r="A31" s="25">
        <f>calc!$K$31</f>
        <v>2458965.0581099028</v>
      </c>
      <c r="B31" s="17">
        <f t="shared" si="0"/>
        <v>2458965.5581099028</v>
      </c>
      <c r="C31" s="17">
        <f t="shared" si="1"/>
        <v>2458965</v>
      </c>
      <c r="D31" s="17">
        <f t="shared" si="2"/>
        <v>0.55810990277677774</v>
      </c>
      <c r="E31" s="17">
        <f t="shared" si="3"/>
        <v>16</v>
      </c>
      <c r="F31" s="17">
        <f t="shared" si="4"/>
        <v>2458978</v>
      </c>
      <c r="G31" s="17">
        <f t="shared" si="5"/>
        <v>2460502</v>
      </c>
      <c r="H31" s="17">
        <f t="shared" si="6"/>
        <v>6736</v>
      </c>
      <c r="I31" s="17">
        <f t="shared" si="7"/>
        <v>2460324</v>
      </c>
      <c r="J31" s="17">
        <f t="shared" si="8"/>
        <v>5</v>
      </c>
      <c r="K31" s="35">
        <f t="shared" si="9"/>
        <v>25.558109902776778</v>
      </c>
      <c r="L31" s="73">
        <f t="shared" si="10"/>
        <v>25</v>
      </c>
      <c r="M31" s="17" t="str">
        <f t="shared" si="11"/>
        <v>04</v>
      </c>
      <c r="N31" s="35">
        <f t="shared" si="12"/>
        <v>13.394637666642666</v>
      </c>
      <c r="O31" s="17">
        <f t="shared" si="13"/>
        <v>13</v>
      </c>
      <c r="P31" s="17">
        <f t="shared" si="14"/>
        <v>23.678259998559952</v>
      </c>
      <c r="Q31" s="73">
        <f t="shared" si="15"/>
        <v>23</v>
      </c>
      <c r="R31" s="74">
        <f t="shared" si="16"/>
        <v>40.695599913597107</v>
      </c>
      <c r="S31" s="17">
        <f t="shared" si="17"/>
        <v>2020</v>
      </c>
      <c r="T31" s="48" t="str">
        <f t="shared" si="18"/>
        <v>2020  04-25    13:23:40,7</v>
      </c>
    </row>
    <row r="32" spans="1:20">
      <c r="A32" s="25">
        <f>calc!$K$32</f>
        <v>2458966.0931596695</v>
      </c>
      <c r="B32" s="17">
        <f t="shared" si="0"/>
        <v>2458966.5931596695</v>
      </c>
      <c r="C32" s="17">
        <f t="shared" si="1"/>
        <v>2458966</v>
      </c>
      <c r="D32" s="17">
        <f t="shared" si="2"/>
        <v>0.5931596695445478</v>
      </c>
      <c r="E32" s="17">
        <f t="shared" si="3"/>
        <v>16</v>
      </c>
      <c r="F32" s="17">
        <f t="shared" si="4"/>
        <v>2458979</v>
      </c>
      <c r="G32" s="17">
        <f t="shared" si="5"/>
        <v>2460503</v>
      </c>
      <c r="H32" s="17">
        <f t="shared" si="6"/>
        <v>6736</v>
      </c>
      <c r="I32" s="17">
        <f t="shared" si="7"/>
        <v>2460324</v>
      </c>
      <c r="J32" s="17">
        <f t="shared" si="8"/>
        <v>5</v>
      </c>
      <c r="K32" s="35">
        <f t="shared" si="9"/>
        <v>26.593159669544548</v>
      </c>
      <c r="L32" s="73">
        <f t="shared" si="10"/>
        <v>26</v>
      </c>
      <c r="M32" s="17" t="str">
        <f t="shared" si="11"/>
        <v>04</v>
      </c>
      <c r="N32" s="35">
        <f t="shared" si="12"/>
        <v>14.235832069069147</v>
      </c>
      <c r="O32" s="17">
        <f t="shared" si="13"/>
        <v>14</v>
      </c>
      <c r="P32" s="17">
        <f t="shared" si="14"/>
        <v>14.149924144148827</v>
      </c>
      <c r="Q32" s="73">
        <f t="shared" si="15"/>
        <v>14</v>
      </c>
      <c r="R32" s="74">
        <f t="shared" si="16"/>
        <v>8.9954486489295959</v>
      </c>
      <c r="S32" s="17">
        <f t="shared" si="17"/>
        <v>2020</v>
      </c>
      <c r="T32" s="48" t="str">
        <f t="shared" si="18"/>
        <v>2020  04-26    14:14:09</v>
      </c>
    </row>
    <row r="33" spans="1:20">
      <c r="A33" s="25">
        <f>calc!$K$33</f>
        <v>2458967.1282094363</v>
      </c>
      <c r="B33" s="17">
        <f t="shared" si="0"/>
        <v>2458967.6282094363</v>
      </c>
      <c r="C33" s="17">
        <f t="shared" si="1"/>
        <v>2458967</v>
      </c>
      <c r="D33" s="17">
        <f t="shared" si="2"/>
        <v>0.62820943631231785</v>
      </c>
      <c r="E33" s="17">
        <f t="shared" si="3"/>
        <v>16</v>
      </c>
      <c r="F33" s="17">
        <f t="shared" si="4"/>
        <v>2458980</v>
      </c>
      <c r="G33" s="17">
        <f t="shared" si="5"/>
        <v>2460504</v>
      </c>
      <c r="H33" s="17">
        <f t="shared" si="6"/>
        <v>6736</v>
      </c>
      <c r="I33" s="17">
        <f t="shared" si="7"/>
        <v>2460324</v>
      </c>
      <c r="J33" s="17">
        <f t="shared" si="8"/>
        <v>5</v>
      </c>
      <c r="K33" s="35">
        <f t="shared" si="9"/>
        <v>27.628209436312318</v>
      </c>
      <c r="L33" s="73">
        <f t="shared" si="10"/>
        <v>27</v>
      </c>
      <c r="M33" s="17" t="str">
        <f t="shared" si="11"/>
        <v>04</v>
      </c>
      <c r="N33" s="35">
        <f t="shared" si="12"/>
        <v>15.077026471495628</v>
      </c>
      <c r="O33" s="17">
        <f t="shared" si="13"/>
        <v>15</v>
      </c>
      <c r="P33" s="17">
        <f t="shared" si="14"/>
        <v>4.6215882897377014</v>
      </c>
      <c r="Q33" s="73">
        <f t="shared" si="15"/>
        <v>4</v>
      </c>
      <c r="R33" s="74">
        <f t="shared" si="16"/>
        <v>37.295297384262085</v>
      </c>
      <c r="S33" s="17">
        <f t="shared" si="17"/>
        <v>2020</v>
      </c>
      <c r="T33" s="48" t="str">
        <f t="shared" si="18"/>
        <v>2020  04-27    15:04:37,3</v>
      </c>
    </row>
    <row r="34" spans="1:20">
      <c r="A34" s="25">
        <f>calc!$K$34</f>
        <v>2458968.1632592031</v>
      </c>
      <c r="B34" s="17">
        <f t="shared" ref="B34:B63" si="19">A34+0.5</f>
        <v>2458968.6632592031</v>
      </c>
      <c r="C34" s="17">
        <f t="shared" ref="C34:C63" si="20">INT(B34)</f>
        <v>2458968</v>
      </c>
      <c r="D34" s="17">
        <f t="shared" ref="D34:D63" si="21">MOD(B34,1)</f>
        <v>0.6632592030800879</v>
      </c>
      <c r="E34" s="17">
        <f t="shared" ref="E34:E63" si="22">IF(C34&lt;2299161,C34,INT((C34-1867216.25)/36524.25))</f>
        <v>16</v>
      </c>
      <c r="F34" s="17">
        <f t="shared" ref="F34:F63" si="23">C34+1+E34-INT((E34/4))</f>
        <v>2458981</v>
      </c>
      <c r="G34" s="17">
        <f t="shared" ref="G34:G63" si="24">F34+1524</f>
        <v>2460505</v>
      </c>
      <c r="H34" s="17">
        <f t="shared" ref="H34:H63" si="25">INT((G34-122.1)/365.25)</f>
        <v>6736</v>
      </c>
      <c r="I34" s="17">
        <f t="shared" ref="I34:I63" si="26">INT(365.25*H34)</f>
        <v>2460324</v>
      </c>
      <c r="J34" s="17">
        <f t="shared" ref="J34:J63" si="27">INT((G34-I34)/30.6001)</f>
        <v>5</v>
      </c>
      <c r="K34" s="35">
        <f t="shared" ref="K34:K63" si="28">G34-I34-INT(30.6001*J34)+D34</f>
        <v>28.663259203080088</v>
      </c>
      <c r="L34" s="73">
        <f t="shared" ref="L34:L63" si="29">INT(K34)</f>
        <v>28</v>
      </c>
      <c r="M34" s="17" t="str">
        <f t="shared" ref="M34:M63" si="30">IF(IF(J34&lt;14,J34-1,J34-13)&lt;10,"0"&amp;IF(J34&lt;14,J34-1,J34-13),IF(J34&lt;14,J34-1,J34-13))</f>
        <v>04</v>
      </c>
      <c r="N34" s="35">
        <f t="shared" ref="N34:N63" si="31">24*MOD(K34,1)</f>
        <v>15.91822087392211</v>
      </c>
      <c r="O34" s="17">
        <f t="shared" ref="O34:O63" si="32">INT(N34)</f>
        <v>15</v>
      </c>
      <c r="P34" s="17">
        <f t="shared" ref="P34:P63" si="33">MOD(N34,1)*60</f>
        <v>55.093252435326576</v>
      </c>
      <c r="Q34" s="73">
        <f t="shared" ref="Q34:Q63" si="34">INT(MOD(N34,1)*60)</f>
        <v>55</v>
      </c>
      <c r="R34" s="74">
        <f t="shared" ref="R34:R63" si="35">MOD(P34,1)*60</f>
        <v>5.595146119594574</v>
      </c>
      <c r="S34" s="17">
        <f t="shared" ref="S34:S63" si="36">IF(M34&gt;2,H34-4716,H34-4715)</f>
        <v>2020</v>
      </c>
      <c r="T34" s="48" t="str">
        <f t="shared" ref="T34:T63" si="37">S34&amp;"  "&amp;M34&amp;"-"&amp;IF(L34&lt;10,"0","")&amp;L34&amp;"    "&amp;IF(O34&lt;10,"0","")&amp;O34&amp;":"&amp;IF(Q34&lt;10,"0"&amp;INT(Q34),INT(Q34))&amp;":"&amp;IF(ROUND(R34,1)&lt;10,"0"&amp;ROUND(R34,1),ROUND(R34,1))</f>
        <v>2020  04-28    15:55:05,6</v>
      </c>
    </row>
    <row r="35" spans="1:20">
      <c r="A35" s="25">
        <f>calc!$K$35</f>
        <v>2458969.1983089698</v>
      </c>
      <c r="B35" s="17">
        <f t="shared" si="19"/>
        <v>2458969.6983089698</v>
      </c>
      <c r="C35" s="17">
        <f t="shared" si="20"/>
        <v>2458969</v>
      </c>
      <c r="D35" s="17">
        <f t="shared" si="21"/>
        <v>0.69830896984785795</v>
      </c>
      <c r="E35" s="17">
        <f t="shared" si="22"/>
        <v>16</v>
      </c>
      <c r="F35" s="17">
        <f t="shared" si="23"/>
        <v>2458982</v>
      </c>
      <c r="G35" s="17">
        <f t="shared" si="24"/>
        <v>2460506</v>
      </c>
      <c r="H35" s="17">
        <f t="shared" si="25"/>
        <v>6736</v>
      </c>
      <c r="I35" s="17">
        <f t="shared" si="26"/>
        <v>2460324</v>
      </c>
      <c r="J35" s="17">
        <f t="shared" si="27"/>
        <v>5</v>
      </c>
      <c r="K35" s="35">
        <f t="shared" si="28"/>
        <v>29.698308969847858</v>
      </c>
      <c r="L35" s="73">
        <f t="shared" si="29"/>
        <v>29</v>
      </c>
      <c r="M35" s="17" t="str">
        <f t="shared" si="30"/>
        <v>04</v>
      </c>
      <c r="N35" s="35">
        <f t="shared" si="31"/>
        <v>16.759415276348591</v>
      </c>
      <c r="O35" s="17">
        <f t="shared" si="32"/>
        <v>16</v>
      </c>
      <c r="P35" s="17">
        <f t="shared" si="33"/>
        <v>45.564916580915451</v>
      </c>
      <c r="Q35" s="73">
        <f t="shared" si="34"/>
        <v>45</v>
      </c>
      <c r="R35" s="74">
        <f t="shared" si="35"/>
        <v>33.894994854927063</v>
      </c>
      <c r="S35" s="17">
        <f t="shared" si="36"/>
        <v>2020</v>
      </c>
      <c r="T35" s="48" t="str">
        <f t="shared" si="37"/>
        <v>2020  04-29    16:45:33,9</v>
      </c>
    </row>
    <row r="36" spans="1:20">
      <c r="A36" s="25">
        <f>calc!$K$36</f>
        <v>2458970.2333587366</v>
      </c>
      <c r="B36" s="17">
        <f t="shared" si="19"/>
        <v>2458970.7333587366</v>
      </c>
      <c r="C36" s="17">
        <f t="shared" si="20"/>
        <v>2458970</v>
      </c>
      <c r="D36" s="17">
        <f t="shared" si="21"/>
        <v>0.733358736615628</v>
      </c>
      <c r="E36" s="17">
        <f t="shared" si="22"/>
        <v>16</v>
      </c>
      <c r="F36" s="17">
        <f t="shared" si="23"/>
        <v>2458983</v>
      </c>
      <c r="G36" s="17">
        <f t="shared" si="24"/>
        <v>2460507</v>
      </c>
      <c r="H36" s="17">
        <f t="shared" si="25"/>
        <v>6736</v>
      </c>
      <c r="I36" s="17">
        <f t="shared" si="26"/>
        <v>2460324</v>
      </c>
      <c r="J36" s="17">
        <f t="shared" si="27"/>
        <v>5</v>
      </c>
      <c r="K36" s="35">
        <f t="shared" si="28"/>
        <v>30.733358736615628</v>
      </c>
      <c r="L36" s="73">
        <f t="shared" si="29"/>
        <v>30</v>
      </c>
      <c r="M36" s="17" t="str">
        <f t="shared" si="30"/>
        <v>04</v>
      </c>
      <c r="N36" s="35">
        <f t="shared" si="31"/>
        <v>17.600609678775072</v>
      </c>
      <c r="O36" s="17">
        <f t="shared" si="32"/>
        <v>17</v>
      </c>
      <c r="P36" s="17">
        <f t="shared" si="33"/>
        <v>36.036580726504326</v>
      </c>
      <c r="Q36" s="73">
        <f t="shared" si="34"/>
        <v>36</v>
      </c>
      <c r="R36" s="74">
        <f t="shared" si="35"/>
        <v>2.194843590259552</v>
      </c>
      <c r="S36" s="17">
        <f t="shared" si="36"/>
        <v>2020</v>
      </c>
      <c r="T36" s="48" t="str">
        <f t="shared" si="37"/>
        <v>2020  04-30    17:36:02,2</v>
      </c>
    </row>
    <row r="37" spans="1:20">
      <c r="A37" s="25">
        <f>calc!$K$37</f>
        <v>2458971.2684085034</v>
      </c>
      <c r="B37" s="17">
        <f t="shared" si="19"/>
        <v>2458971.7684085034</v>
      </c>
      <c r="C37" s="17">
        <f t="shared" si="20"/>
        <v>2458971</v>
      </c>
      <c r="D37" s="17">
        <f t="shared" si="21"/>
        <v>0.76840850338339806</v>
      </c>
      <c r="E37" s="17">
        <f t="shared" si="22"/>
        <v>16</v>
      </c>
      <c r="F37" s="17">
        <f t="shared" si="23"/>
        <v>2458984</v>
      </c>
      <c r="G37" s="17">
        <f t="shared" si="24"/>
        <v>2460508</v>
      </c>
      <c r="H37" s="17">
        <f t="shared" si="25"/>
        <v>6736</v>
      </c>
      <c r="I37" s="17">
        <f t="shared" si="26"/>
        <v>2460324</v>
      </c>
      <c r="J37" s="17">
        <f t="shared" si="27"/>
        <v>6</v>
      </c>
      <c r="K37" s="35">
        <f t="shared" si="28"/>
        <v>1.7684085033833981</v>
      </c>
      <c r="L37" s="73">
        <f t="shared" si="29"/>
        <v>1</v>
      </c>
      <c r="M37" s="17" t="str">
        <f t="shared" si="30"/>
        <v>05</v>
      </c>
      <c r="N37" s="35">
        <f t="shared" si="31"/>
        <v>18.441804081201553</v>
      </c>
      <c r="O37" s="17">
        <f t="shared" si="32"/>
        <v>18</v>
      </c>
      <c r="P37" s="17">
        <f t="shared" si="33"/>
        <v>26.508244872093201</v>
      </c>
      <c r="Q37" s="73">
        <f t="shared" si="34"/>
        <v>26</v>
      </c>
      <c r="R37" s="74">
        <f t="shared" si="35"/>
        <v>30.494692325592041</v>
      </c>
      <c r="S37" s="17">
        <f t="shared" si="36"/>
        <v>2020</v>
      </c>
      <c r="T37" s="48" t="str">
        <f t="shared" si="37"/>
        <v>2020  05-01    18:26:30,5</v>
      </c>
    </row>
    <row r="38" spans="1:20">
      <c r="A38" s="25">
        <f>calc!$K$38</f>
        <v>2458972.3034582702</v>
      </c>
      <c r="B38" s="17">
        <f t="shared" si="19"/>
        <v>2458972.8034582702</v>
      </c>
      <c r="C38" s="17">
        <f t="shared" si="20"/>
        <v>2458972</v>
      </c>
      <c r="D38" s="17">
        <f t="shared" si="21"/>
        <v>0.80345827015116811</v>
      </c>
      <c r="E38" s="17">
        <f t="shared" si="22"/>
        <v>16</v>
      </c>
      <c r="F38" s="17">
        <f t="shared" si="23"/>
        <v>2458985</v>
      </c>
      <c r="G38" s="17">
        <f t="shared" si="24"/>
        <v>2460509</v>
      </c>
      <c r="H38" s="17">
        <f t="shared" si="25"/>
        <v>6736</v>
      </c>
      <c r="I38" s="17">
        <f t="shared" si="26"/>
        <v>2460324</v>
      </c>
      <c r="J38" s="17">
        <f t="shared" si="27"/>
        <v>6</v>
      </c>
      <c r="K38" s="35">
        <f t="shared" si="28"/>
        <v>2.8034582701511681</v>
      </c>
      <c r="L38" s="73">
        <f t="shared" si="29"/>
        <v>2</v>
      </c>
      <c r="M38" s="17" t="str">
        <f t="shared" si="30"/>
        <v>05</v>
      </c>
      <c r="N38" s="35">
        <f t="shared" si="31"/>
        <v>19.282998483628035</v>
      </c>
      <c r="O38" s="17">
        <f t="shared" si="32"/>
        <v>19</v>
      </c>
      <c r="P38" s="17">
        <f t="shared" si="33"/>
        <v>16.979909017682076</v>
      </c>
      <c r="Q38" s="73">
        <f t="shared" si="34"/>
        <v>16</v>
      </c>
      <c r="R38" s="74">
        <f t="shared" si="35"/>
        <v>58.79454106092453</v>
      </c>
      <c r="S38" s="17">
        <f t="shared" si="36"/>
        <v>2020</v>
      </c>
      <c r="T38" s="48" t="str">
        <f t="shared" si="37"/>
        <v>2020  05-02    19:16:58,8</v>
      </c>
    </row>
    <row r="39" spans="1:20">
      <c r="A39" s="25">
        <f>calc!$K$39</f>
        <v>2458973.3385080369</v>
      </c>
      <c r="B39" s="17">
        <f t="shared" si="19"/>
        <v>2458973.8385080369</v>
      </c>
      <c r="C39" s="17">
        <f t="shared" si="20"/>
        <v>2458973</v>
      </c>
      <c r="D39" s="17">
        <f t="shared" si="21"/>
        <v>0.83850803691893816</v>
      </c>
      <c r="E39" s="17">
        <f t="shared" si="22"/>
        <v>16</v>
      </c>
      <c r="F39" s="17">
        <f t="shared" si="23"/>
        <v>2458986</v>
      </c>
      <c r="G39" s="17">
        <f t="shared" si="24"/>
        <v>2460510</v>
      </c>
      <c r="H39" s="17">
        <f t="shared" si="25"/>
        <v>6736</v>
      </c>
      <c r="I39" s="17">
        <f t="shared" si="26"/>
        <v>2460324</v>
      </c>
      <c r="J39" s="17">
        <f t="shared" si="27"/>
        <v>6</v>
      </c>
      <c r="K39" s="35">
        <f t="shared" si="28"/>
        <v>3.8385080369189382</v>
      </c>
      <c r="L39" s="73">
        <f t="shared" si="29"/>
        <v>3</v>
      </c>
      <c r="M39" s="17" t="str">
        <f t="shared" si="30"/>
        <v>05</v>
      </c>
      <c r="N39" s="35">
        <f t="shared" si="31"/>
        <v>20.124192886054516</v>
      </c>
      <c r="O39" s="17">
        <f t="shared" si="32"/>
        <v>20</v>
      </c>
      <c r="P39" s="17">
        <f t="shared" si="33"/>
        <v>7.4515731632709503</v>
      </c>
      <c r="Q39" s="73">
        <f t="shared" si="34"/>
        <v>7</v>
      </c>
      <c r="R39" s="74">
        <f t="shared" si="35"/>
        <v>27.094389796257019</v>
      </c>
      <c r="S39" s="17">
        <f t="shared" si="36"/>
        <v>2020</v>
      </c>
      <c r="T39" s="48" t="str">
        <f t="shared" si="37"/>
        <v>2020  05-03    20:07:27,1</v>
      </c>
    </row>
    <row r="40" spans="1:20">
      <c r="A40" s="25">
        <f>calc!$K$40</f>
        <v>2458974.3735578037</v>
      </c>
      <c r="B40" s="17">
        <f t="shared" si="19"/>
        <v>2458974.8735578037</v>
      </c>
      <c r="C40" s="17">
        <f t="shared" si="20"/>
        <v>2458974</v>
      </c>
      <c r="D40" s="17">
        <f t="shared" si="21"/>
        <v>0.87355780368670821</v>
      </c>
      <c r="E40" s="17">
        <f t="shared" si="22"/>
        <v>16</v>
      </c>
      <c r="F40" s="17">
        <f t="shared" si="23"/>
        <v>2458987</v>
      </c>
      <c r="G40" s="17">
        <f t="shared" si="24"/>
        <v>2460511</v>
      </c>
      <c r="H40" s="17">
        <f t="shared" si="25"/>
        <v>6736</v>
      </c>
      <c r="I40" s="17">
        <f t="shared" si="26"/>
        <v>2460324</v>
      </c>
      <c r="J40" s="17">
        <f t="shared" si="27"/>
        <v>6</v>
      </c>
      <c r="K40" s="35">
        <f t="shared" si="28"/>
        <v>4.8735578036867082</v>
      </c>
      <c r="L40" s="73">
        <f t="shared" si="29"/>
        <v>4</v>
      </c>
      <c r="M40" s="17" t="str">
        <f t="shared" si="30"/>
        <v>05</v>
      </c>
      <c r="N40" s="35">
        <f t="shared" si="31"/>
        <v>20.965387288480997</v>
      </c>
      <c r="O40" s="17">
        <f t="shared" si="32"/>
        <v>20</v>
      </c>
      <c r="P40" s="17">
        <f t="shared" si="33"/>
        <v>57.923237308859825</v>
      </c>
      <c r="Q40" s="73">
        <f t="shared" si="34"/>
        <v>57</v>
      </c>
      <c r="R40" s="74">
        <f t="shared" si="35"/>
        <v>55.394238531589508</v>
      </c>
      <c r="S40" s="17">
        <f t="shared" si="36"/>
        <v>2020</v>
      </c>
      <c r="T40" s="48" t="str">
        <f t="shared" si="37"/>
        <v>2020  05-04    20:57:55,4</v>
      </c>
    </row>
    <row r="41" spans="1:20">
      <c r="A41" s="25">
        <f>calc!$K$41</f>
        <v>2458975.4086075705</v>
      </c>
      <c r="B41" s="17">
        <f t="shared" si="19"/>
        <v>2458975.9086075705</v>
      </c>
      <c r="C41" s="17">
        <f t="shared" si="20"/>
        <v>2458975</v>
      </c>
      <c r="D41" s="17">
        <f t="shared" si="21"/>
        <v>0.90860757045447826</v>
      </c>
      <c r="E41" s="17">
        <f t="shared" si="22"/>
        <v>16</v>
      </c>
      <c r="F41" s="17">
        <f t="shared" si="23"/>
        <v>2458988</v>
      </c>
      <c r="G41" s="17">
        <f t="shared" si="24"/>
        <v>2460512</v>
      </c>
      <c r="H41" s="17">
        <f t="shared" si="25"/>
        <v>6736</v>
      </c>
      <c r="I41" s="17">
        <f t="shared" si="26"/>
        <v>2460324</v>
      </c>
      <c r="J41" s="17">
        <f t="shared" si="27"/>
        <v>6</v>
      </c>
      <c r="K41" s="35">
        <f t="shared" si="28"/>
        <v>5.9086075704544783</v>
      </c>
      <c r="L41" s="73">
        <f t="shared" si="29"/>
        <v>5</v>
      </c>
      <c r="M41" s="17" t="str">
        <f t="shared" si="30"/>
        <v>05</v>
      </c>
      <c r="N41" s="35">
        <f t="shared" si="31"/>
        <v>21.806581690907478</v>
      </c>
      <c r="O41" s="17">
        <f t="shared" si="32"/>
        <v>21</v>
      </c>
      <c r="P41" s="17">
        <f t="shared" si="33"/>
        <v>48.3949014544487</v>
      </c>
      <c r="Q41" s="73">
        <f t="shared" si="34"/>
        <v>48</v>
      </c>
      <c r="R41" s="74">
        <f t="shared" si="35"/>
        <v>23.694087266921997</v>
      </c>
      <c r="S41" s="17">
        <f t="shared" si="36"/>
        <v>2020</v>
      </c>
      <c r="T41" s="48" t="str">
        <f t="shared" si="37"/>
        <v>2020  05-05    21:48:23,7</v>
      </c>
    </row>
    <row r="42" spans="1:20">
      <c r="A42" s="25">
        <f>calc!$K$42</f>
        <v>2458976.4436573372</v>
      </c>
      <c r="B42" s="17">
        <f t="shared" si="19"/>
        <v>2458976.9436573372</v>
      </c>
      <c r="C42" s="17">
        <f t="shared" si="20"/>
        <v>2458976</v>
      </c>
      <c r="D42" s="17">
        <f t="shared" si="21"/>
        <v>0.94365733722224832</v>
      </c>
      <c r="E42" s="17">
        <f t="shared" si="22"/>
        <v>16</v>
      </c>
      <c r="F42" s="17">
        <f t="shared" si="23"/>
        <v>2458989</v>
      </c>
      <c r="G42" s="17">
        <f t="shared" si="24"/>
        <v>2460513</v>
      </c>
      <c r="H42" s="17">
        <f t="shared" si="25"/>
        <v>6736</v>
      </c>
      <c r="I42" s="17">
        <f t="shared" si="26"/>
        <v>2460324</v>
      </c>
      <c r="J42" s="17">
        <f t="shared" si="27"/>
        <v>6</v>
      </c>
      <c r="K42" s="35">
        <f t="shared" si="28"/>
        <v>6.9436573372222483</v>
      </c>
      <c r="L42" s="73">
        <f t="shared" si="29"/>
        <v>6</v>
      </c>
      <c r="M42" s="17" t="str">
        <f t="shared" si="30"/>
        <v>05</v>
      </c>
      <c r="N42" s="35">
        <f t="shared" si="31"/>
        <v>22.64777609333396</v>
      </c>
      <c r="O42" s="17">
        <f t="shared" si="32"/>
        <v>22</v>
      </c>
      <c r="P42" s="17">
        <f t="shared" si="33"/>
        <v>38.866565600037575</v>
      </c>
      <c r="Q42" s="73">
        <f t="shared" si="34"/>
        <v>38</v>
      </c>
      <c r="R42" s="74">
        <f t="shared" si="35"/>
        <v>51.993936002254486</v>
      </c>
      <c r="S42" s="17">
        <f t="shared" si="36"/>
        <v>2020</v>
      </c>
      <c r="T42" s="48" t="str">
        <f t="shared" si="37"/>
        <v>2020  05-06    22:38:52</v>
      </c>
    </row>
    <row r="43" spans="1:20">
      <c r="A43" s="25">
        <f>calc!$K$43</f>
        <v>2458977.478707104</v>
      </c>
      <c r="B43" s="17">
        <f t="shared" si="19"/>
        <v>2458977.978707104</v>
      </c>
      <c r="C43" s="17">
        <f t="shared" si="20"/>
        <v>2458977</v>
      </c>
      <c r="D43" s="17">
        <f t="shared" si="21"/>
        <v>0.97870710399001837</v>
      </c>
      <c r="E43" s="17">
        <f t="shared" si="22"/>
        <v>16</v>
      </c>
      <c r="F43" s="17">
        <f t="shared" si="23"/>
        <v>2458990</v>
      </c>
      <c r="G43" s="17">
        <f t="shared" si="24"/>
        <v>2460514</v>
      </c>
      <c r="H43" s="17">
        <f t="shared" si="25"/>
        <v>6736</v>
      </c>
      <c r="I43" s="17">
        <f t="shared" si="26"/>
        <v>2460324</v>
      </c>
      <c r="J43" s="17">
        <f t="shared" si="27"/>
        <v>6</v>
      </c>
      <c r="K43" s="35">
        <f t="shared" si="28"/>
        <v>7.9787071039900184</v>
      </c>
      <c r="L43" s="73">
        <f t="shared" si="29"/>
        <v>7</v>
      </c>
      <c r="M43" s="17" t="str">
        <f t="shared" si="30"/>
        <v>05</v>
      </c>
      <c r="N43" s="35">
        <f t="shared" si="31"/>
        <v>23.488970495760441</v>
      </c>
      <c r="O43" s="17">
        <f t="shared" si="32"/>
        <v>23</v>
      </c>
      <c r="P43" s="17">
        <f t="shared" si="33"/>
        <v>29.33822974562645</v>
      </c>
      <c r="Q43" s="73">
        <f t="shared" si="34"/>
        <v>29</v>
      </c>
      <c r="R43" s="74">
        <f t="shared" si="35"/>
        <v>20.293784737586975</v>
      </c>
      <c r="S43" s="17">
        <f t="shared" si="36"/>
        <v>2020</v>
      </c>
      <c r="T43" s="48" t="str">
        <f t="shared" si="37"/>
        <v>2020  05-07    23:29:20,3</v>
      </c>
    </row>
    <row r="44" spans="1:20">
      <c r="A44" s="25">
        <f>calc!$K$44</f>
        <v>2458978.5137568708</v>
      </c>
      <c r="B44" s="17">
        <f t="shared" si="19"/>
        <v>2458979.0137568708</v>
      </c>
      <c r="C44" s="17">
        <f t="shared" si="20"/>
        <v>2458979</v>
      </c>
      <c r="D44" s="17">
        <f t="shared" si="21"/>
        <v>1.375687075778842E-2</v>
      </c>
      <c r="E44" s="17">
        <f t="shared" si="22"/>
        <v>16</v>
      </c>
      <c r="F44" s="17">
        <f t="shared" si="23"/>
        <v>2458992</v>
      </c>
      <c r="G44" s="17">
        <f t="shared" si="24"/>
        <v>2460516</v>
      </c>
      <c r="H44" s="17">
        <f t="shared" si="25"/>
        <v>6736</v>
      </c>
      <c r="I44" s="17">
        <f t="shared" si="26"/>
        <v>2460324</v>
      </c>
      <c r="J44" s="17">
        <f t="shared" si="27"/>
        <v>6</v>
      </c>
      <c r="K44" s="35">
        <f t="shared" si="28"/>
        <v>9.0137568707577884</v>
      </c>
      <c r="L44" s="73">
        <f t="shared" si="29"/>
        <v>9</v>
      </c>
      <c r="M44" s="17" t="str">
        <f t="shared" si="30"/>
        <v>05</v>
      </c>
      <c r="N44" s="35">
        <f t="shared" si="31"/>
        <v>0.33016489818692207</v>
      </c>
      <c r="O44" s="17">
        <f t="shared" si="32"/>
        <v>0</v>
      </c>
      <c r="P44" s="17">
        <f t="shared" si="33"/>
        <v>19.809893891215324</v>
      </c>
      <c r="Q44" s="73">
        <f t="shared" si="34"/>
        <v>19</v>
      </c>
      <c r="R44" s="74">
        <f t="shared" si="35"/>
        <v>48.593633472919464</v>
      </c>
      <c r="S44" s="17">
        <f t="shared" si="36"/>
        <v>2020</v>
      </c>
      <c r="T44" s="48" t="str">
        <f t="shared" si="37"/>
        <v>2020  05-09    00:19:48,6</v>
      </c>
    </row>
    <row r="45" spans="1:20">
      <c r="A45" s="25">
        <f>calc!$K$45</f>
        <v>2458979.5488066375</v>
      </c>
      <c r="B45" s="17">
        <f t="shared" si="19"/>
        <v>2458980.0488066375</v>
      </c>
      <c r="C45" s="17">
        <f t="shared" si="20"/>
        <v>2458980</v>
      </c>
      <c r="D45" s="17">
        <f t="shared" si="21"/>
        <v>4.8806637525558472E-2</v>
      </c>
      <c r="E45" s="17">
        <f t="shared" si="22"/>
        <v>16</v>
      </c>
      <c r="F45" s="17">
        <f t="shared" si="23"/>
        <v>2458993</v>
      </c>
      <c r="G45" s="17">
        <f t="shared" si="24"/>
        <v>2460517</v>
      </c>
      <c r="H45" s="17">
        <f t="shared" si="25"/>
        <v>6736</v>
      </c>
      <c r="I45" s="17">
        <f t="shared" si="26"/>
        <v>2460324</v>
      </c>
      <c r="J45" s="17">
        <f t="shared" si="27"/>
        <v>6</v>
      </c>
      <c r="K45" s="35">
        <f t="shared" si="28"/>
        <v>10.048806637525558</v>
      </c>
      <c r="L45" s="73">
        <f t="shared" si="29"/>
        <v>10</v>
      </c>
      <c r="M45" s="17" t="str">
        <f t="shared" si="30"/>
        <v>05</v>
      </c>
      <c r="N45" s="35">
        <f t="shared" si="31"/>
        <v>1.1713593006134033</v>
      </c>
      <c r="O45" s="17">
        <f t="shared" si="32"/>
        <v>1</v>
      </c>
      <c r="P45" s="17">
        <f t="shared" si="33"/>
        <v>10.281558036804199</v>
      </c>
      <c r="Q45" s="73">
        <f t="shared" si="34"/>
        <v>10</v>
      </c>
      <c r="R45" s="74">
        <f t="shared" si="35"/>
        <v>16.893482208251953</v>
      </c>
      <c r="S45" s="17">
        <f t="shared" si="36"/>
        <v>2020</v>
      </c>
      <c r="T45" s="48" t="str">
        <f t="shared" si="37"/>
        <v>2020  05-10    01:10:16,9</v>
      </c>
    </row>
    <row r="46" spans="1:20">
      <c r="A46" s="25">
        <f>calc!$K$46</f>
        <v>2458980.5838564043</v>
      </c>
      <c r="B46" s="17">
        <f t="shared" si="19"/>
        <v>2458981.0838564043</v>
      </c>
      <c r="C46" s="17">
        <f t="shared" si="20"/>
        <v>2458981</v>
      </c>
      <c r="D46" s="17">
        <f t="shared" si="21"/>
        <v>8.3856404293328524E-2</v>
      </c>
      <c r="E46" s="17">
        <f t="shared" si="22"/>
        <v>16</v>
      </c>
      <c r="F46" s="17">
        <f t="shared" si="23"/>
        <v>2458994</v>
      </c>
      <c r="G46" s="17">
        <f t="shared" si="24"/>
        <v>2460518</v>
      </c>
      <c r="H46" s="17">
        <f t="shared" si="25"/>
        <v>6736</v>
      </c>
      <c r="I46" s="17">
        <f t="shared" si="26"/>
        <v>2460324</v>
      </c>
      <c r="J46" s="17">
        <f t="shared" si="27"/>
        <v>6</v>
      </c>
      <c r="K46" s="35">
        <f t="shared" si="28"/>
        <v>11.083856404293329</v>
      </c>
      <c r="L46" s="73">
        <f t="shared" si="29"/>
        <v>11</v>
      </c>
      <c r="M46" s="17" t="str">
        <f t="shared" si="30"/>
        <v>05</v>
      </c>
      <c r="N46" s="35">
        <f t="shared" si="31"/>
        <v>2.0125537030398846</v>
      </c>
      <c r="O46" s="17">
        <f t="shared" si="32"/>
        <v>2</v>
      </c>
      <c r="P46" s="17">
        <f t="shared" si="33"/>
        <v>0.75322218239307404</v>
      </c>
      <c r="Q46" s="73">
        <f t="shared" si="34"/>
        <v>0</v>
      </c>
      <c r="R46" s="74">
        <f t="shared" si="35"/>
        <v>45.193330943584442</v>
      </c>
      <c r="S46" s="17">
        <f t="shared" si="36"/>
        <v>2020</v>
      </c>
      <c r="T46" s="48" t="str">
        <f t="shared" si="37"/>
        <v>2020  05-11    02:00:45,2</v>
      </c>
    </row>
    <row r="47" spans="1:20">
      <c r="A47" s="25">
        <f>calc!$K$47</f>
        <v>2458981.6189061711</v>
      </c>
      <c r="B47" s="17">
        <f t="shared" si="19"/>
        <v>2458982.1189061711</v>
      </c>
      <c r="C47" s="17">
        <f t="shared" si="20"/>
        <v>2458982</v>
      </c>
      <c r="D47" s="17">
        <f t="shared" si="21"/>
        <v>0.11890617106109858</v>
      </c>
      <c r="E47" s="17">
        <f t="shared" si="22"/>
        <v>16</v>
      </c>
      <c r="F47" s="17">
        <f t="shared" si="23"/>
        <v>2458995</v>
      </c>
      <c r="G47" s="17">
        <f t="shared" si="24"/>
        <v>2460519</v>
      </c>
      <c r="H47" s="17">
        <f t="shared" si="25"/>
        <v>6736</v>
      </c>
      <c r="I47" s="17">
        <f t="shared" si="26"/>
        <v>2460324</v>
      </c>
      <c r="J47" s="17">
        <f t="shared" si="27"/>
        <v>6</v>
      </c>
      <c r="K47" s="35">
        <f t="shared" si="28"/>
        <v>12.118906171061099</v>
      </c>
      <c r="L47" s="73">
        <f t="shared" si="29"/>
        <v>12</v>
      </c>
      <c r="M47" s="17" t="str">
        <f t="shared" si="30"/>
        <v>05</v>
      </c>
      <c r="N47" s="35">
        <f t="shared" si="31"/>
        <v>2.8537481054663658</v>
      </c>
      <c r="O47" s="17">
        <f t="shared" si="32"/>
        <v>2</v>
      </c>
      <c r="P47" s="17">
        <f t="shared" si="33"/>
        <v>51.224886327981949</v>
      </c>
      <c r="Q47" s="73">
        <f t="shared" si="34"/>
        <v>51</v>
      </c>
      <c r="R47" s="74">
        <f t="shared" si="35"/>
        <v>13.493179678916931</v>
      </c>
      <c r="S47" s="17">
        <f t="shared" si="36"/>
        <v>2020</v>
      </c>
      <c r="T47" s="48" t="str">
        <f t="shared" si="37"/>
        <v>2020  05-12    02:51:13,5</v>
      </c>
    </row>
    <row r="48" spans="1:20">
      <c r="A48" s="25">
        <f>calc!$K$48</f>
        <v>2458982.6539559378</v>
      </c>
      <c r="B48" s="17">
        <f t="shared" si="19"/>
        <v>2458983.1539559378</v>
      </c>
      <c r="C48" s="17">
        <f t="shared" si="20"/>
        <v>2458983</v>
      </c>
      <c r="D48" s="17">
        <f t="shared" si="21"/>
        <v>0.15395593782886863</v>
      </c>
      <c r="E48" s="17">
        <f t="shared" si="22"/>
        <v>16</v>
      </c>
      <c r="F48" s="17">
        <f t="shared" si="23"/>
        <v>2458996</v>
      </c>
      <c r="G48" s="17">
        <f t="shared" si="24"/>
        <v>2460520</v>
      </c>
      <c r="H48" s="17">
        <f t="shared" si="25"/>
        <v>6736</v>
      </c>
      <c r="I48" s="17">
        <f t="shared" si="26"/>
        <v>2460324</v>
      </c>
      <c r="J48" s="17">
        <f t="shared" si="27"/>
        <v>6</v>
      </c>
      <c r="K48" s="35">
        <f t="shared" si="28"/>
        <v>13.153955937828869</v>
      </c>
      <c r="L48" s="73">
        <f t="shared" si="29"/>
        <v>13</v>
      </c>
      <c r="M48" s="17" t="str">
        <f t="shared" si="30"/>
        <v>05</v>
      </c>
      <c r="N48" s="35">
        <f t="shared" si="31"/>
        <v>3.6949425078928471</v>
      </c>
      <c r="O48" s="17">
        <f t="shared" si="32"/>
        <v>3</v>
      </c>
      <c r="P48" s="17">
        <f t="shared" si="33"/>
        <v>41.696550473570824</v>
      </c>
      <c r="Q48" s="73">
        <f t="shared" si="34"/>
        <v>41</v>
      </c>
      <c r="R48" s="74">
        <f t="shared" si="35"/>
        <v>41.79302841424942</v>
      </c>
      <c r="S48" s="17">
        <f t="shared" si="36"/>
        <v>2020</v>
      </c>
      <c r="T48" s="48" t="str">
        <f t="shared" si="37"/>
        <v>2020  05-13    03:41:41,8</v>
      </c>
    </row>
    <row r="49" spans="1:20">
      <c r="A49" s="25">
        <f>calc!$K$49</f>
        <v>2458983.6890057046</v>
      </c>
      <c r="B49" s="17">
        <f t="shared" si="19"/>
        <v>2458984.1890057046</v>
      </c>
      <c r="C49" s="17">
        <f t="shared" si="20"/>
        <v>2458984</v>
      </c>
      <c r="D49" s="17">
        <f t="shared" si="21"/>
        <v>0.18900570459663868</v>
      </c>
      <c r="E49" s="17">
        <f t="shared" si="22"/>
        <v>16</v>
      </c>
      <c r="F49" s="17">
        <f t="shared" si="23"/>
        <v>2458997</v>
      </c>
      <c r="G49" s="17">
        <f t="shared" si="24"/>
        <v>2460521</v>
      </c>
      <c r="H49" s="17">
        <f t="shared" si="25"/>
        <v>6736</v>
      </c>
      <c r="I49" s="17">
        <f t="shared" si="26"/>
        <v>2460324</v>
      </c>
      <c r="J49" s="17">
        <f t="shared" si="27"/>
        <v>6</v>
      </c>
      <c r="K49" s="35">
        <f t="shared" si="28"/>
        <v>14.189005704596639</v>
      </c>
      <c r="L49" s="73">
        <f t="shared" si="29"/>
        <v>14</v>
      </c>
      <c r="M49" s="17" t="str">
        <f t="shared" si="30"/>
        <v>05</v>
      </c>
      <c r="N49" s="35">
        <f t="shared" si="31"/>
        <v>4.5361369103193283</v>
      </c>
      <c r="O49" s="17">
        <f t="shared" si="32"/>
        <v>4</v>
      </c>
      <c r="P49" s="17">
        <f t="shared" si="33"/>
        <v>32.168214619159698</v>
      </c>
      <c r="Q49" s="73">
        <f t="shared" si="34"/>
        <v>32</v>
      </c>
      <c r="R49" s="74">
        <f t="shared" si="35"/>
        <v>10.092877149581909</v>
      </c>
      <c r="S49" s="17">
        <f t="shared" si="36"/>
        <v>2020</v>
      </c>
      <c r="T49" s="48" t="str">
        <f t="shared" si="37"/>
        <v>2020  05-14    04:32:10,1</v>
      </c>
    </row>
    <row r="50" spans="1:20">
      <c r="A50" s="25">
        <f>calc!$K$50</f>
        <v>2458984.7240554714</v>
      </c>
      <c r="B50" s="17">
        <f t="shared" si="19"/>
        <v>2458985.2240554714</v>
      </c>
      <c r="C50" s="17">
        <f t="shared" si="20"/>
        <v>2458985</v>
      </c>
      <c r="D50" s="17">
        <f t="shared" si="21"/>
        <v>0.22405547136440873</v>
      </c>
      <c r="E50" s="17">
        <f t="shared" si="22"/>
        <v>16</v>
      </c>
      <c r="F50" s="17">
        <f t="shared" si="23"/>
        <v>2458998</v>
      </c>
      <c r="G50" s="17">
        <f t="shared" si="24"/>
        <v>2460522</v>
      </c>
      <c r="H50" s="17">
        <f t="shared" si="25"/>
        <v>6736</v>
      </c>
      <c r="I50" s="17">
        <f t="shared" si="26"/>
        <v>2460324</v>
      </c>
      <c r="J50" s="17">
        <f t="shared" si="27"/>
        <v>6</v>
      </c>
      <c r="K50" s="35">
        <f t="shared" si="28"/>
        <v>15.224055471364409</v>
      </c>
      <c r="L50" s="73">
        <f t="shared" si="29"/>
        <v>15</v>
      </c>
      <c r="M50" s="17" t="str">
        <f t="shared" si="30"/>
        <v>05</v>
      </c>
      <c r="N50" s="35">
        <f t="shared" si="31"/>
        <v>5.3773313127458096</v>
      </c>
      <c r="O50" s="17">
        <f t="shared" si="32"/>
        <v>5</v>
      </c>
      <c r="P50" s="17">
        <f t="shared" si="33"/>
        <v>22.639878764748573</v>
      </c>
      <c r="Q50" s="73">
        <f t="shared" si="34"/>
        <v>22</v>
      </c>
      <c r="R50" s="74">
        <f t="shared" si="35"/>
        <v>38.392725884914398</v>
      </c>
      <c r="S50" s="17">
        <f t="shared" si="36"/>
        <v>2020</v>
      </c>
      <c r="T50" s="48" t="str">
        <f t="shared" si="37"/>
        <v>2020  05-15    05:22:38,4</v>
      </c>
    </row>
    <row r="51" spans="1:20">
      <c r="A51" s="25">
        <f>calc!$K$51</f>
        <v>2458985.7591052381</v>
      </c>
      <c r="B51" s="17">
        <f t="shared" si="19"/>
        <v>2458986.2591052381</v>
      </c>
      <c r="C51" s="17">
        <f t="shared" si="20"/>
        <v>2458986</v>
      </c>
      <c r="D51" s="17">
        <f t="shared" si="21"/>
        <v>0.25910523813217878</v>
      </c>
      <c r="E51" s="17">
        <f t="shared" si="22"/>
        <v>16</v>
      </c>
      <c r="F51" s="17">
        <f t="shared" si="23"/>
        <v>2458999</v>
      </c>
      <c r="G51" s="17">
        <f t="shared" si="24"/>
        <v>2460523</v>
      </c>
      <c r="H51" s="17">
        <f t="shared" si="25"/>
        <v>6736</v>
      </c>
      <c r="I51" s="17">
        <f t="shared" si="26"/>
        <v>2460324</v>
      </c>
      <c r="J51" s="17">
        <f t="shared" si="27"/>
        <v>6</v>
      </c>
      <c r="K51" s="35">
        <f t="shared" si="28"/>
        <v>16.259105238132179</v>
      </c>
      <c r="L51" s="73">
        <f t="shared" si="29"/>
        <v>16</v>
      </c>
      <c r="M51" s="17" t="str">
        <f t="shared" si="30"/>
        <v>05</v>
      </c>
      <c r="N51" s="35">
        <f t="shared" si="31"/>
        <v>6.2185257151722908</v>
      </c>
      <c r="O51" s="17">
        <f t="shared" si="32"/>
        <v>6</v>
      </c>
      <c r="P51" s="17">
        <f t="shared" si="33"/>
        <v>13.111542910337448</v>
      </c>
      <c r="Q51" s="73">
        <f t="shared" si="34"/>
        <v>13</v>
      </c>
      <c r="R51" s="74">
        <f t="shared" si="35"/>
        <v>6.6925746202468872</v>
      </c>
      <c r="S51" s="17">
        <f t="shared" si="36"/>
        <v>2020</v>
      </c>
      <c r="T51" s="48" t="str">
        <f t="shared" si="37"/>
        <v>2020  05-16    06:13:06,7</v>
      </c>
    </row>
    <row r="52" spans="1:20">
      <c r="A52" s="25">
        <f>calc!$K$52</f>
        <v>2458986.7941550049</v>
      </c>
      <c r="B52" s="17">
        <f t="shared" si="19"/>
        <v>2458987.2941550049</v>
      </c>
      <c r="C52" s="17">
        <f t="shared" si="20"/>
        <v>2458987</v>
      </c>
      <c r="D52" s="17">
        <f t="shared" si="21"/>
        <v>0.29415500489994884</v>
      </c>
      <c r="E52" s="17">
        <f t="shared" si="22"/>
        <v>16</v>
      </c>
      <c r="F52" s="17">
        <f t="shared" si="23"/>
        <v>2459000</v>
      </c>
      <c r="G52" s="17">
        <f t="shared" si="24"/>
        <v>2460524</v>
      </c>
      <c r="H52" s="17">
        <f t="shared" si="25"/>
        <v>6736</v>
      </c>
      <c r="I52" s="17">
        <f t="shared" si="26"/>
        <v>2460324</v>
      </c>
      <c r="J52" s="17">
        <f t="shared" si="27"/>
        <v>6</v>
      </c>
      <c r="K52" s="35">
        <f t="shared" si="28"/>
        <v>17.294155004899949</v>
      </c>
      <c r="L52" s="73">
        <f t="shared" si="29"/>
        <v>17</v>
      </c>
      <c r="M52" s="17" t="str">
        <f t="shared" si="30"/>
        <v>05</v>
      </c>
      <c r="N52" s="35">
        <f t="shared" si="31"/>
        <v>7.059720117598772</v>
      </c>
      <c r="O52" s="17">
        <f t="shared" si="32"/>
        <v>7</v>
      </c>
      <c r="P52" s="17">
        <f t="shared" si="33"/>
        <v>3.5832070559263229</v>
      </c>
      <c r="Q52" s="73">
        <f t="shared" si="34"/>
        <v>3</v>
      </c>
      <c r="R52" s="74">
        <f t="shared" si="35"/>
        <v>34.992423355579376</v>
      </c>
      <c r="S52" s="17">
        <f t="shared" si="36"/>
        <v>2020</v>
      </c>
      <c r="T52" s="48" t="str">
        <f t="shared" si="37"/>
        <v>2020  05-17    07:03:35</v>
      </c>
    </row>
    <row r="53" spans="1:20">
      <c r="A53" s="25">
        <f>calc!$K$53</f>
        <v>2458987.8292047717</v>
      </c>
      <c r="B53" s="17">
        <f t="shared" si="19"/>
        <v>2458988.3292047717</v>
      </c>
      <c r="C53" s="17">
        <f t="shared" si="20"/>
        <v>2458988</v>
      </c>
      <c r="D53" s="17">
        <f t="shared" si="21"/>
        <v>0.32920477166771889</v>
      </c>
      <c r="E53" s="17">
        <f t="shared" si="22"/>
        <v>16</v>
      </c>
      <c r="F53" s="17">
        <f t="shared" si="23"/>
        <v>2459001</v>
      </c>
      <c r="G53" s="17">
        <f t="shared" si="24"/>
        <v>2460525</v>
      </c>
      <c r="H53" s="17">
        <f t="shared" si="25"/>
        <v>6736</v>
      </c>
      <c r="I53" s="17">
        <f t="shared" si="26"/>
        <v>2460324</v>
      </c>
      <c r="J53" s="17">
        <f t="shared" si="27"/>
        <v>6</v>
      </c>
      <c r="K53" s="35">
        <f t="shared" si="28"/>
        <v>18.329204771667719</v>
      </c>
      <c r="L53" s="73">
        <f t="shared" si="29"/>
        <v>18</v>
      </c>
      <c r="M53" s="17" t="str">
        <f t="shared" si="30"/>
        <v>05</v>
      </c>
      <c r="N53" s="35">
        <f t="shared" si="31"/>
        <v>7.9009145200252533</v>
      </c>
      <c r="O53" s="17">
        <f t="shared" si="32"/>
        <v>7</v>
      </c>
      <c r="P53" s="17">
        <f t="shared" si="33"/>
        <v>54.054871201515198</v>
      </c>
      <c r="Q53" s="73">
        <f t="shared" si="34"/>
        <v>54</v>
      </c>
      <c r="R53" s="74">
        <f t="shared" si="35"/>
        <v>3.2922720909118652</v>
      </c>
      <c r="S53" s="17">
        <f t="shared" si="36"/>
        <v>2020</v>
      </c>
      <c r="T53" s="48" t="str">
        <f t="shared" si="37"/>
        <v>2020  05-18    07:54:03,3</v>
      </c>
    </row>
    <row r="54" spans="1:20">
      <c r="A54" s="25">
        <f>calc!$K$54</f>
        <v>2458988.8642545384</v>
      </c>
      <c r="B54" s="17">
        <f t="shared" si="19"/>
        <v>2458989.3642545384</v>
      </c>
      <c r="C54" s="17">
        <f t="shared" si="20"/>
        <v>2458989</v>
      </c>
      <c r="D54" s="17">
        <f t="shared" si="21"/>
        <v>0.36425453843548894</v>
      </c>
      <c r="E54" s="17">
        <f t="shared" si="22"/>
        <v>16</v>
      </c>
      <c r="F54" s="17">
        <f t="shared" si="23"/>
        <v>2459002</v>
      </c>
      <c r="G54" s="17">
        <f t="shared" si="24"/>
        <v>2460526</v>
      </c>
      <c r="H54" s="17">
        <f t="shared" si="25"/>
        <v>6736</v>
      </c>
      <c r="I54" s="17">
        <f t="shared" si="26"/>
        <v>2460324</v>
      </c>
      <c r="J54" s="17">
        <f t="shared" si="27"/>
        <v>6</v>
      </c>
      <c r="K54" s="35">
        <f t="shared" si="28"/>
        <v>19.364254538435489</v>
      </c>
      <c r="L54" s="73">
        <f t="shared" si="29"/>
        <v>19</v>
      </c>
      <c r="M54" s="17" t="str">
        <f t="shared" si="30"/>
        <v>05</v>
      </c>
      <c r="N54" s="35">
        <f t="shared" si="31"/>
        <v>8.7421089224517345</v>
      </c>
      <c r="O54" s="17">
        <f t="shared" si="32"/>
        <v>8</v>
      </c>
      <c r="P54" s="17">
        <f t="shared" si="33"/>
        <v>44.526535347104073</v>
      </c>
      <c r="Q54" s="73">
        <f t="shared" si="34"/>
        <v>44</v>
      </c>
      <c r="R54" s="74">
        <f t="shared" si="35"/>
        <v>31.592120826244354</v>
      </c>
      <c r="S54" s="17">
        <f t="shared" si="36"/>
        <v>2020</v>
      </c>
      <c r="T54" s="48" t="str">
        <f t="shared" si="37"/>
        <v>2020  05-19    08:44:31,6</v>
      </c>
    </row>
    <row r="55" spans="1:20">
      <c r="A55" s="25">
        <f>calc!$K$55</f>
        <v>2458989.8993043052</v>
      </c>
      <c r="B55" s="17">
        <f t="shared" si="19"/>
        <v>2458990.3993043052</v>
      </c>
      <c r="C55" s="17">
        <f t="shared" si="20"/>
        <v>2458990</v>
      </c>
      <c r="D55" s="17">
        <f t="shared" si="21"/>
        <v>0.39930430520325899</v>
      </c>
      <c r="E55" s="17">
        <f t="shared" si="22"/>
        <v>16</v>
      </c>
      <c r="F55" s="17">
        <f t="shared" si="23"/>
        <v>2459003</v>
      </c>
      <c r="G55" s="17">
        <f t="shared" si="24"/>
        <v>2460527</v>
      </c>
      <c r="H55" s="17">
        <f t="shared" si="25"/>
        <v>6736</v>
      </c>
      <c r="I55" s="17">
        <f t="shared" si="26"/>
        <v>2460324</v>
      </c>
      <c r="J55" s="17">
        <f t="shared" si="27"/>
        <v>6</v>
      </c>
      <c r="K55" s="35">
        <f t="shared" si="28"/>
        <v>20.399304305203259</v>
      </c>
      <c r="L55" s="73">
        <f t="shared" si="29"/>
        <v>20</v>
      </c>
      <c r="M55" s="17" t="str">
        <f t="shared" si="30"/>
        <v>05</v>
      </c>
      <c r="N55" s="35">
        <f t="shared" si="31"/>
        <v>9.5833033248782158</v>
      </c>
      <c r="O55" s="17">
        <f t="shared" si="32"/>
        <v>9</v>
      </c>
      <c r="P55" s="17">
        <f t="shared" si="33"/>
        <v>34.998199492692947</v>
      </c>
      <c r="Q55" s="73">
        <f t="shared" si="34"/>
        <v>34</v>
      </c>
      <c r="R55" s="74">
        <f t="shared" si="35"/>
        <v>59.891969561576843</v>
      </c>
      <c r="S55" s="17">
        <f t="shared" si="36"/>
        <v>2020</v>
      </c>
      <c r="T55" s="48" t="str">
        <f t="shared" si="37"/>
        <v>2020  05-20    09:34:59,9</v>
      </c>
    </row>
    <row r="56" spans="1:20">
      <c r="A56" s="25">
        <f>calc!$K$56</f>
        <v>2458990.934354072</v>
      </c>
      <c r="B56" s="17">
        <f t="shared" si="19"/>
        <v>2458991.434354072</v>
      </c>
      <c r="C56" s="17">
        <f t="shared" si="20"/>
        <v>2458991</v>
      </c>
      <c r="D56" s="17">
        <f t="shared" si="21"/>
        <v>0.43435407197102904</v>
      </c>
      <c r="E56" s="17">
        <f t="shared" si="22"/>
        <v>16</v>
      </c>
      <c r="F56" s="17">
        <f t="shared" si="23"/>
        <v>2459004</v>
      </c>
      <c r="G56" s="17">
        <f t="shared" si="24"/>
        <v>2460528</v>
      </c>
      <c r="H56" s="17">
        <f t="shared" si="25"/>
        <v>6736</v>
      </c>
      <c r="I56" s="17">
        <f t="shared" si="26"/>
        <v>2460324</v>
      </c>
      <c r="J56" s="17">
        <f t="shared" si="27"/>
        <v>6</v>
      </c>
      <c r="K56" s="35">
        <f t="shared" si="28"/>
        <v>21.434354071971029</v>
      </c>
      <c r="L56" s="73">
        <f t="shared" si="29"/>
        <v>21</v>
      </c>
      <c r="M56" s="17" t="str">
        <f t="shared" si="30"/>
        <v>05</v>
      </c>
      <c r="N56" s="35">
        <f t="shared" si="31"/>
        <v>10.424497727304697</v>
      </c>
      <c r="O56" s="17">
        <f t="shared" si="32"/>
        <v>10</v>
      </c>
      <c r="P56" s="17">
        <f t="shared" si="33"/>
        <v>25.469863638281822</v>
      </c>
      <c r="Q56" s="73">
        <f t="shared" si="34"/>
        <v>25</v>
      </c>
      <c r="R56" s="74">
        <f t="shared" si="35"/>
        <v>28.191818296909332</v>
      </c>
      <c r="S56" s="17">
        <f t="shared" si="36"/>
        <v>2020</v>
      </c>
      <c r="T56" s="48" t="str">
        <f t="shared" si="37"/>
        <v>2020  05-21    10:25:28,2</v>
      </c>
    </row>
    <row r="57" spans="1:20">
      <c r="A57" s="25">
        <f>calc!$K$57</f>
        <v>2458991.9694038387</v>
      </c>
      <c r="B57" s="17">
        <f t="shared" si="19"/>
        <v>2458992.4694038387</v>
      </c>
      <c r="C57" s="17">
        <f t="shared" si="20"/>
        <v>2458992</v>
      </c>
      <c r="D57" s="17">
        <f t="shared" si="21"/>
        <v>0.4694038387387991</v>
      </c>
      <c r="E57" s="17">
        <f t="shared" si="22"/>
        <v>16</v>
      </c>
      <c r="F57" s="17">
        <f t="shared" si="23"/>
        <v>2459005</v>
      </c>
      <c r="G57" s="17">
        <f t="shared" si="24"/>
        <v>2460529</v>
      </c>
      <c r="H57" s="17">
        <f t="shared" si="25"/>
        <v>6736</v>
      </c>
      <c r="I57" s="17">
        <f t="shared" si="26"/>
        <v>2460324</v>
      </c>
      <c r="J57" s="17">
        <f t="shared" si="27"/>
        <v>6</v>
      </c>
      <c r="K57" s="35">
        <f t="shared" si="28"/>
        <v>22.469403838738799</v>
      </c>
      <c r="L57" s="73">
        <f t="shared" si="29"/>
        <v>22</v>
      </c>
      <c r="M57" s="17" t="str">
        <f t="shared" si="30"/>
        <v>05</v>
      </c>
      <c r="N57" s="35">
        <f t="shared" si="31"/>
        <v>11.265692129731178</v>
      </c>
      <c r="O57" s="17">
        <f t="shared" si="32"/>
        <v>11</v>
      </c>
      <c r="P57" s="17">
        <f t="shared" si="33"/>
        <v>15.941527783870697</v>
      </c>
      <c r="Q57" s="73">
        <f t="shared" si="34"/>
        <v>15</v>
      </c>
      <c r="R57" s="74">
        <f t="shared" si="35"/>
        <v>56.491667032241821</v>
      </c>
      <c r="S57" s="17">
        <f t="shared" si="36"/>
        <v>2020</v>
      </c>
      <c r="T57" s="48" t="str">
        <f t="shared" si="37"/>
        <v>2020  05-22    11:15:56,5</v>
      </c>
    </row>
    <row r="58" spans="1:20">
      <c r="A58" s="25">
        <f>calc!$K$58</f>
        <v>2458993.0044536055</v>
      </c>
      <c r="B58" s="17">
        <f t="shared" si="19"/>
        <v>2458993.5044536055</v>
      </c>
      <c r="C58" s="17">
        <f t="shared" si="20"/>
        <v>2458993</v>
      </c>
      <c r="D58" s="17">
        <f t="shared" si="21"/>
        <v>0.50445360550656915</v>
      </c>
      <c r="E58" s="17">
        <f t="shared" si="22"/>
        <v>16</v>
      </c>
      <c r="F58" s="17">
        <f t="shared" si="23"/>
        <v>2459006</v>
      </c>
      <c r="G58" s="17">
        <f t="shared" si="24"/>
        <v>2460530</v>
      </c>
      <c r="H58" s="17">
        <f t="shared" si="25"/>
        <v>6736</v>
      </c>
      <c r="I58" s="17">
        <f t="shared" si="26"/>
        <v>2460324</v>
      </c>
      <c r="J58" s="17">
        <f t="shared" si="27"/>
        <v>6</v>
      </c>
      <c r="K58" s="35">
        <f t="shared" si="28"/>
        <v>23.504453605506569</v>
      </c>
      <c r="L58" s="73">
        <f t="shared" si="29"/>
        <v>23</v>
      </c>
      <c r="M58" s="17" t="str">
        <f t="shared" si="30"/>
        <v>05</v>
      </c>
      <c r="N58" s="35">
        <f t="shared" si="31"/>
        <v>12.10688653215766</v>
      </c>
      <c r="O58" s="17">
        <f t="shared" si="32"/>
        <v>12</v>
      </c>
      <c r="P58" s="17">
        <f t="shared" si="33"/>
        <v>6.4131919294595718</v>
      </c>
      <c r="Q58" s="73">
        <f t="shared" si="34"/>
        <v>6</v>
      </c>
      <c r="R58" s="74">
        <f t="shared" si="35"/>
        <v>24.79151576757431</v>
      </c>
      <c r="S58" s="17">
        <f t="shared" si="36"/>
        <v>2020</v>
      </c>
      <c r="T58" s="48" t="str">
        <f t="shared" si="37"/>
        <v>2020  05-23    12:06:24,8</v>
      </c>
    </row>
    <row r="59" spans="1:20">
      <c r="A59" s="25">
        <f>calc!$K$59</f>
        <v>2458994.0395033723</v>
      </c>
      <c r="B59" s="17">
        <f t="shared" si="19"/>
        <v>2458994.5395033723</v>
      </c>
      <c r="C59" s="17">
        <f t="shared" si="20"/>
        <v>2458994</v>
      </c>
      <c r="D59" s="17">
        <f t="shared" si="21"/>
        <v>0.5395033722743392</v>
      </c>
      <c r="E59" s="17">
        <f t="shared" si="22"/>
        <v>16</v>
      </c>
      <c r="F59" s="17">
        <f t="shared" si="23"/>
        <v>2459007</v>
      </c>
      <c r="G59" s="17">
        <f t="shared" si="24"/>
        <v>2460531</v>
      </c>
      <c r="H59" s="17">
        <f t="shared" si="25"/>
        <v>6736</v>
      </c>
      <c r="I59" s="17">
        <f t="shared" si="26"/>
        <v>2460324</v>
      </c>
      <c r="J59" s="17">
        <f t="shared" si="27"/>
        <v>6</v>
      </c>
      <c r="K59" s="35">
        <f t="shared" si="28"/>
        <v>24.539503372274339</v>
      </c>
      <c r="L59" s="73">
        <f t="shared" si="29"/>
        <v>24</v>
      </c>
      <c r="M59" s="17" t="str">
        <f t="shared" si="30"/>
        <v>05</v>
      </c>
      <c r="N59" s="35">
        <f t="shared" si="31"/>
        <v>12.948080934584141</v>
      </c>
      <c r="O59" s="17">
        <f t="shared" si="32"/>
        <v>12</v>
      </c>
      <c r="P59" s="17">
        <f t="shared" si="33"/>
        <v>56.884856075048447</v>
      </c>
      <c r="Q59" s="73">
        <f t="shared" si="34"/>
        <v>56</v>
      </c>
      <c r="R59" s="74">
        <f t="shared" si="35"/>
        <v>53.091364502906799</v>
      </c>
      <c r="S59" s="17">
        <f t="shared" si="36"/>
        <v>2020</v>
      </c>
      <c r="T59" s="48" t="str">
        <f t="shared" si="37"/>
        <v>2020  05-24    12:56:53,1</v>
      </c>
    </row>
    <row r="60" spans="1:20">
      <c r="A60" s="25">
        <f>calc!$K$60</f>
        <v>2458995.074553139</v>
      </c>
      <c r="B60" s="17">
        <f t="shared" si="19"/>
        <v>2458995.574553139</v>
      </c>
      <c r="C60" s="17">
        <f t="shared" si="20"/>
        <v>2458995</v>
      </c>
      <c r="D60" s="17">
        <f t="shared" si="21"/>
        <v>0.57455313904210925</v>
      </c>
      <c r="E60" s="17">
        <f t="shared" si="22"/>
        <v>16</v>
      </c>
      <c r="F60" s="17">
        <f t="shared" si="23"/>
        <v>2459008</v>
      </c>
      <c r="G60" s="17">
        <f t="shared" si="24"/>
        <v>2460532</v>
      </c>
      <c r="H60" s="17">
        <f t="shared" si="25"/>
        <v>6736</v>
      </c>
      <c r="I60" s="17">
        <f t="shared" si="26"/>
        <v>2460324</v>
      </c>
      <c r="J60" s="17">
        <f t="shared" si="27"/>
        <v>6</v>
      </c>
      <c r="K60" s="35">
        <f t="shared" si="28"/>
        <v>25.574553139042109</v>
      </c>
      <c r="L60" s="73">
        <f t="shared" si="29"/>
        <v>25</v>
      </c>
      <c r="M60" s="17" t="str">
        <f t="shared" si="30"/>
        <v>05</v>
      </c>
      <c r="N60" s="35">
        <f t="shared" si="31"/>
        <v>13.789275337010622</v>
      </c>
      <c r="O60" s="17">
        <f t="shared" si="32"/>
        <v>13</v>
      </c>
      <c r="P60" s="17">
        <f t="shared" si="33"/>
        <v>47.356520220637321</v>
      </c>
      <c r="Q60" s="73">
        <f t="shared" si="34"/>
        <v>47</v>
      </c>
      <c r="R60" s="74">
        <f t="shared" si="35"/>
        <v>21.391213238239288</v>
      </c>
      <c r="S60" s="17">
        <f t="shared" si="36"/>
        <v>2020</v>
      </c>
      <c r="T60" s="48" t="str">
        <f t="shared" si="37"/>
        <v>2020  05-25    13:47:21,4</v>
      </c>
    </row>
    <row r="61" spans="1:20">
      <c r="A61" s="25">
        <f>calc!$K$61</f>
        <v>2458996.1096029058</v>
      </c>
      <c r="B61" s="17">
        <f t="shared" si="19"/>
        <v>2458996.6096029058</v>
      </c>
      <c r="C61" s="17">
        <f t="shared" si="20"/>
        <v>2458996</v>
      </c>
      <c r="D61" s="17">
        <f t="shared" si="21"/>
        <v>0.6096029058098793</v>
      </c>
      <c r="E61" s="17">
        <f t="shared" si="22"/>
        <v>16</v>
      </c>
      <c r="F61" s="17">
        <f t="shared" si="23"/>
        <v>2459009</v>
      </c>
      <c r="G61" s="17">
        <f t="shared" si="24"/>
        <v>2460533</v>
      </c>
      <c r="H61" s="17">
        <f t="shared" si="25"/>
        <v>6736</v>
      </c>
      <c r="I61" s="17">
        <f t="shared" si="26"/>
        <v>2460324</v>
      </c>
      <c r="J61" s="17">
        <f t="shared" si="27"/>
        <v>6</v>
      </c>
      <c r="K61" s="35">
        <f t="shared" si="28"/>
        <v>26.609602905809879</v>
      </c>
      <c r="L61" s="73">
        <f t="shared" si="29"/>
        <v>26</v>
      </c>
      <c r="M61" s="17" t="str">
        <f t="shared" si="30"/>
        <v>05</v>
      </c>
      <c r="N61" s="35">
        <f t="shared" si="31"/>
        <v>14.630469739437103</v>
      </c>
      <c r="O61" s="17">
        <f t="shared" si="32"/>
        <v>14</v>
      </c>
      <c r="P61" s="17">
        <f t="shared" si="33"/>
        <v>37.828184366226196</v>
      </c>
      <c r="Q61" s="73">
        <f t="shared" si="34"/>
        <v>37</v>
      </c>
      <c r="R61" s="74">
        <f t="shared" si="35"/>
        <v>49.691061973571777</v>
      </c>
      <c r="S61" s="17">
        <f t="shared" si="36"/>
        <v>2020</v>
      </c>
      <c r="T61" s="48" t="str">
        <f t="shared" si="37"/>
        <v>2020  05-26    14:37:49,7</v>
      </c>
    </row>
    <row r="62" spans="1:20">
      <c r="A62" s="25">
        <f>calc!$K$62</f>
        <v>2458997.1446526726</v>
      </c>
      <c r="B62" s="17">
        <f t="shared" si="19"/>
        <v>2458997.6446526726</v>
      </c>
      <c r="C62" s="17">
        <f t="shared" si="20"/>
        <v>2458997</v>
      </c>
      <c r="D62" s="17">
        <f t="shared" si="21"/>
        <v>0.64465267257764935</v>
      </c>
      <c r="E62" s="17">
        <f t="shared" si="22"/>
        <v>16</v>
      </c>
      <c r="F62" s="17">
        <f t="shared" si="23"/>
        <v>2459010</v>
      </c>
      <c r="G62" s="17">
        <f t="shared" si="24"/>
        <v>2460534</v>
      </c>
      <c r="H62" s="17">
        <f t="shared" si="25"/>
        <v>6736</v>
      </c>
      <c r="I62" s="17">
        <f t="shared" si="26"/>
        <v>2460324</v>
      </c>
      <c r="J62" s="17">
        <f t="shared" si="27"/>
        <v>6</v>
      </c>
      <c r="K62" s="35">
        <f t="shared" si="28"/>
        <v>27.644652672577649</v>
      </c>
      <c r="L62" s="73">
        <f t="shared" si="29"/>
        <v>27</v>
      </c>
      <c r="M62" s="17" t="str">
        <f t="shared" si="30"/>
        <v>05</v>
      </c>
      <c r="N62" s="35">
        <f t="shared" si="31"/>
        <v>15.471664141863585</v>
      </c>
      <c r="O62" s="17">
        <f t="shared" si="32"/>
        <v>15</v>
      </c>
      <c r="P62" s="17">
        <f t="shared" si="33"/>
        <v>28.299848511815071</v>
      </c>
      <c r="Q62" s="73">
        <f t="shared" si="34"/>
        <v>28</v>
      </c>
      <c r="R62" s="74">
        <f t="shared" si="35"/>
        <v>17.990910708904266</v>
      </c>
      <c r="S62" s="17">
        <f t="shared" si="36"/>
        <v>2020</v>
      </c>
      <c r="T62" s="48" t="str">
        <f t="shared" si="37"/>
        <v>2020  05-27    15:28:18</v>
      </c>
    </row>
    <row r="63" spans="1:20">
      <c r="A63" s="25">
        <f>calc!$K$63</f>
        <v>2458998.1797024393</v>
      </c>
      <c r="B63" s="17">
        <f t="shared" si="19"/>
        <v>2458998.6797024393</v>
      </c>
      <c r="C63" s="17">
        <f t="shared" si="20"/>
        <v>2458998</v>
      </c>
      <c r="D63" s="17">
        <f t="shared" si="21"/>
        <v>0.67970243934541941</v>
      </c>
      <c r="E63" s="17">
        <f t="shared" si="22"/>
        <v>16</v>
      </c>
      <c r="F63" s="17">
        <f t="shared" si="23"/>
        <v>2459011</v>
      </c>
      <c r="G63" s="17">
        <f t="shared" si="24"/>
        <v>2460535</v>
      </c>
      <c r="H63" s="17">
        <f t="shared" si="25"/>
        <v>6736</v>
      </c>
      <c r="I63" s="17">
        <f t="shared" si="26"/>
        <v>2460324</v>
      </c>
      <c r="J63" s="17">
        <f t="shared" si="27"/>
        <v>6</v>
      </c>
      <c r="K63" s="35">
        <f t="shared" si="28"/>
        <v>28.679702439345419</v>
      </c>
      <c r="L63" s="73">
        <f t="shared" si="29"/>
        <v>28</v>
      </c>
      <c r="M63" s="17" t="str">
        <f t="shared" si="30"/>
        <v>05</v>
      </c>
      <c r="N63" s="35">
        <f t="shared" si="31"/>
        <v>16.312858544290066</v>
      </c>
      <c r="O63" s="17">
        <f t="shared" si="32"/>
        <v>16</v>
      </c>
      <c r="P63" s="17">
        <f t="shared" si="33"/>
        <v>18.771512657403946</v>
      </c>
      <c r="Q63" s="73">
        <f t="shared" si="34"/>
        <v>18</v>
      </c>
      <c r="R63" s="74">
        <f t="shared" si="35"/>
        <v>46.290759444236755</v>
      </c>
      <c r="S63" s="17">
        <f t="shared" si="36"/>
        <v>2020</v>
      </c>
      <c r="T63" s="48" t="str">
        <f t="shared" si="37"/>
        <v>2020  05-28    16:18:46,3</v>
      </c>
    </row>
  </sheetData>
  <pageMargins left="0.78749999999999998" right="0.78749999999999998" top="0.78749999999999998" bottom="0.78749999999999998" header="0.511811023622047" footer="0.511811023622047"/>
  <pageSetup paperSize="9" orientation="portrait" useFirstPageNumber="1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zoomScaleNormal="100" workbookViewId="0">
      <selection activeCell="A3" sqref="A3"/>
    </sheetView>
  </sheetViews>
  <sheetFormatPr baseColWidth="10" defaultColWidth="9.6640625" defaultRowHeight="16"/>
  <cols>
    <col min="2" max="2" width="11" customWidth="1"/>
    <col min="3" max="3" width="4.5" style="75" customWidth="1"/>
    <col min="4" max="4" width="7" customWidth="1"/>
    <col min="5" max="5" width="7.6640625" customWidth="1"/>
    <col min="6" max="6" width="7.5" style="76" customWidth="1"/>
    <col min="7" max="7" width="11.6640625" style="17" customWidth="1"/>
    <col min="13" max="14" width="6.33203125" customWidth="1"/>
    <col min="15" max="15" width="7.83203125" customWidth="1"/>
  </cols>
  <sheetData>
    <row r="1" spans="1:14">
      <c r="G1" s="23" t="s">
        <v>85</v>
      </c>
    </row>
    <row r="2" spans="1:14">
      <c r="A2" s="77" t="str">
        <f>'elev  az  illum'!$L$1</f>
        <v>year   d-m         UT</v>
      </c>
      <c r="B2" s="78"/>
      <c r="D2" s="37" t="s">
        <v>15</v>
      </c>
      <c r="E2" s="79" t="s">
        <v>18</v>
      </c>
      <c r="F2" s="80" t="s">
        <v>80</v>
      </c>
      <c r="G2" s="80" t="s">
        <v>81</v>
      </c>
      <c r="H2" s="95" t="s">
        <v>82</v>
      </c>
      <c r="I2" s="95"/>
      <c r="J2" s="96" t="s">
        <v>83</v>
      </c>
      <c r="K2" s="96"/>
      <c r="L2" s="16" t="str">
        <f>input!$D$1</f>
        <v>Lat.</v>
      </c>
      <c r="M2" s="16" t="str">
        <f>input!$E$1</f>
        <v>Long.</v>
      </c>
      <c r="N2" s="17" t="s">
        <v>84</v>
      </c>
    </row>
    <row r="3" spans="1:14">
      <c r="A3" s="19" t="str">
        <f>'elev  az  illum'!$L$2</f>
        <v>2020  03-26    12:59:60</v>
      </c>
      <c r="B3" s="19"/>
      <c r="C3" s="81">
        <f t="shared" ref="C3:C33" ca="1" si="0">CELL("ROW",B3)-2</f>
        <v>1</v>
      </c>
      <c r="D3" s="37">
        <f>calc!$H$2</f>
        <v>46.586159553269994</v>
      </c>
      <c r="E3" s="38">
        <f>calc!$J$2</f>
        <v>180.32002311537519</v>
      </c>
      <c r="F3" s="76" t="str">
        <f>IF(calc!I2&gt;99.5,"FULL "&amp;ROUND(calc!I2,1),"")</f>
        <v/>
      </c>
      <c r="G3" s="81" t="str">
        <f>IF(F3&lt;&gt;"",caldat!S2&amp;"  "&amp;caldat!M2&amp;"-"&amp;IF(caldat!L2&lt;10,"0","")&amp;caldat!L2,"")</f>
        <v/>
      </c>
      <c r="H3" s="19" t="str">
        <f>Analemma1!$A$3</f>
        <v>2020  03-26    12:59:60</v>
      </c>
      <c r="I3" s="19"/>
      <c r="J3" s="20" t="str">
        <f>Analemma1!$A$33</f>
        <v>2020  04-26    14:14:09</v>
      </c>
      <c r="K3" s="20"/>
      <c r="L3" s="21">
        <f>input!$D$2</f>
        <v>50</v>
      </c>
      <c r="M3" s="21">
        <f>input!$E$2</f>
        <v>10</v>
      </c>
      <c r="N3" s="22">
        <f>calc!$J$69</f>
        <v>22.51738546193701</v>
      </c>
    </row>
    <row r="4" spans="1:14">
      <c r="A4" t="str">
        <f>'elev  az  illum'!$L$3</f>
        <v>2020  03-27    13:50:28,3</v>
      </c>
      <c r="C4" s="81">
        <f t="shared" ca="1" si="0"/>
        <v>2</v>
      </c>
      <c r="D4" s="37">
        <f>calc!$H$3</f>
        <v>51.155070437167197</v>
      </c>
      <c r="E4" s="38">
        <f>calc!$J$3</f>
        <v>183.54859671035501</v>
      </c>
      <c r="F4" s="76" t="str">
        <f>IF(calc!I3&gt;99.5,"FULL "&amp;ROUND(calc!I3,1),"")</f>
        <v/>
      </c>
      <c r="G4" s="81" t="str">
        <f>IF(F4&lt;&gt;"",caldat!S3&amp;"  "&amp;caldat!M3&amp;"-"&amp;IF(caldat!L3&lt;10,"0","")&amp;caldat!L3,"")</f>
        <v/>
      </c>
    </row>
    <row r="5" spans="1:14">
      <c r="A5" t="str">
        <f>'elev  az  illum'!$L$4</f>
        <v>2020  03-28    14:40:56,6</v>
      </c>
      <c r="C5" s="81">
        <f t="shared" ca="1" si="0"/>
        <v>3</v>
      </c>
      <c r="D5" s="37">
        <f>calc!$H$4</f>
        <v>55.222071777594643</v>
      </c>
      <c r="E5" s="38">
        <f>calc!$J$4</f>
        <v>186.51301956798125</v>
      </c>
      <c r="F5" s="76" t="str">
        <f>IF(calc!I4&gt;99.5,"FULL "&amp;ROUND(calc!I4,1),"")</f>
        <v/>
      </c>
      <c r="G5" s="81" t="str">
        <f>IF(F5&lt;&gt;"",caldat!S4&amp;"  "&amp;caldat!M4&amp;"-"&amp;IF(caldat!L4&lt;10,"0","")&amp;caldat!L4,"")</f>
        <v/>
      </c>
    </row>
    <row r="6" spans="1:14">
      <c r="A6" t="str">
        <f>'elev  az  illum'!$L$5</f>
        <v>2020  03-29    15:31:24,9</v>
      </c>
      <c r="C6" s="81">
        <f t="shared" ca="1" si="0"/>
        <v>4</v>
      </c>
      <c r="D6" s="37">
        <f>calc!$H$5</f>
        <v>58.63072590063453</v>
      </c>
      <c r="E6" s="38">
        <f>calc!$J$5</f>
        <v>188.75936624232327</v>
      </c>
      <c r="F6" s="76" t="str">
        <f>IF(calc!I5&gt;99.5,"FULL "&amp;ROUND(calc!I5,1),"")</f>
        <v/>
      </c>
      <c r="G6" s="81" t="str">
        <f>IF(F6&lt;&gt;"",caldat!S5&amp;"  "&amp;caldat!M5&amp;"-"&amp;IF(caldat!L5&lt;10,"0","")&amp;caldat!L5,"")</f>
        <v/>
      </c>
    </row>
    <row r="7" spans="1:14">
      <c r="A7" t="str">
        <f>'elev  az  illum'!$L$6</f>
        <v>2020  03-30    16:21:53,2</v>
      </c>
      <c r="C7" s="81">
        <f t="shared" ca="1" si="0"/>
        <v>5</v>
      </c>
      <c r="D7" s="37">
        <f>calc!$H$6</f>
        <v>61.214018842797415</v>
      </c>
      <c r="E7" s="38">
        <f>calc!$J$6</f>
        <v>189.78060842918586</v>
      </c>
      <c r="F7" s="76" t="str">
        <f>IF(calc!I6&gt;99.5,"FULL "&amp;ROUND(calc!I6,1),"")</f>
        <v/>
      </c>
      <c r="G7" s="81" t="str">
        <f>IF(F7&lt;&gt;"",caldat!S6&amp;"  "&amp;caldat!M6&amp;"-"&amp;IF(caldat!L6&lt;10,"0","")&amp;caldat!L6,"")</f>
        <v/>
      </c>
    </row>
    <row r="8" spans="1:14">
      <c r="A8" t="str">
        <f>'elev  az  illum'!$L$7</f>
        <v>2020  03-31    17:12:21,5</v>
      </c>
      <c r="C8" s="81">
        <f t="shared" ca="1" si="0"/>
        <v>6</v>
      </c>
      <c r="D8" s="37">
        <f>calc!$H$7</f>
        <v>62.771133710177409</v>
      </c>
      <c r="E8" s="38">
        <f>calc!$J$7</f>
        <v>189.19037883214651</v>
      </c>
      <c r="F8" s="76" t="str">
        <f>IF(calc!I7&gt;99.5,"FULL "&amp;ROUND(calc!I7,1),"")</f>
        <v/>
      </c>
      <c r="G8" s="81" t="str">
        <f>IF(F8&lt;&gt;"",caldat!S7&amp;"  "&amp;caldat!M7&amp;"-"&amp;IF(caldat!L7&lt;10,"0","")&amp;caldat!L7,"")</f>
        <v/>
      </c>
    </row>
    <row r="9" spans="1:14">
      <c r="A9" t="str">
        <f>'elev  az  illum'!$L$8</f>
        <v>2020  04-01    18:02:49,8</v>
      </c>
      <c r="C9" s="81">
        <f t="shared" ca="1" si="0"/>
        <v>7</v>
      </c>
      <c r="D9" s="37">
        <f>calc!$H$8</f>
        <v>63.067272121959071</v>
      </c>
      <c r="E9" s="38">
        <f>calc!$J$8</f>
        <v>187.01136348762321</v>
      </c>
      <c r="F9" s="76" t="str">
        <f>IF(calc!I8&gt;99.5,"FULL "&amp;ROUND(calc!I8,1),"")</f>
        <v/>
      </c>
      <c r="G9" s="81" t="str">
        <f>IF(F9&lt;&gt;"",caldat!S8&amp;"  "&amp;caldat!M8&amp;"-"&amp;IF(caldat!L8&lt;10,"0","")&amp;caldat!L8,"")</f>
        <v/>
      </c>
    </row>
    <row r="10" spans="1:14">
      <c r="A10" t="str">
        <f>'elev  az  illum'!$L$9</f>
        <v>2020  04-02    18:53:18,1</v>
      </c>
      <c r="C10" s="81">
        <f t="shared" ca="1" si="0"/>
        <v>8</v>
      </c>
      <c r="D10" s="37">
        <f>calc!$H$9</f>
        <v>61.892140394452973</v>
      </c>
      <c r="E10" s="38">
        <f>calc!$J$9</f>
        <v>183.85860002793061</v>
      </c>
      <c r="F10" s="76" t="str">
        <f>IF(calc!I9&gt;99.5,"FULL "&amp;ROUND(calc!I9,1),"")</f>
        <v/>
      </c>
      <c r="G10" s="81" t="str">
        <f>IF(F10&lt;&gt;"",caldat!S9&amp;"  "&amp;caldat!M9&amp;"-"&amp;IF(caldat!L9&lt;10,"0","")&amp;caldat!L9,"")</f>
        <v/>
      </c>
    </row>
    <row r="11" spans="1:14">
      <c r="A11" t="str">
        <f>'elev  az  illum'!$L$10</f>
        <v>2020  04-03    19:43:46,4</v>
      </c>
      <c r="C11" s="81">
        <f t="shared" ca="1" si="0"/>
        <v>9</v>
      </c>
      <c r="D11" s="37">
        <f>calc!$H$10</f>
        <v>59.163313054658886</v>
      </c>
      <c r="E11" s="38">
        <f>calc!$J$10</f>
        <v>180.68008057037616</v>
      </c>
      <c r="F11" s="76" t="str">
        <f>IF(calc!I10&gt;99.5,"FULL "&amp;ROUND(calc!I10,1),"")</f>
        <v/>
      </c>
      <c r="G11" s="81" t="str">
        <f>IF(F11&lt;&gt;"",caldat!S10&amp;"  "&amp;caldat!M10&amp;"-"&amp;IF(caldat!L10&lt;10,"0","")&amp;caldat!L10,"")</f>
        <v/>
      </c>
    </row>
    <row r="12" spans="1:14">
      <c r="A12" t="str">
        <f>'elev  az  illum'!$L$11</f>
        <v>2020  04-04    20:34:14,7</v>
      </c>
      <c r="C12" s="81">
        <f t="shared" ca="1" si="0"/>
        <v>10</v>
      </c>
      <c r="D12" s="37">
        <f>calc!$H$11</f>
        <v>54.990434146296117</v>
      </c>
      <c r="E12" s="38">
        <f>calc!$J$11</f>
        <v>178.18722453189093</v>
      </c>
      <c r="F12" s="76" t="str">
        <f>IF(calc!I11&gt;99.5,"FULL "&amp;ROUND(calc!I11,1),"")</f>
        <v/>
      </c>
      <c r="G12" s="81" t="str">
        <f>IF(F12&lt;&gt;"",caldat!S11&amp;"  "&amp;caldat!M11&amp;"-"&amp;IF(caldat!L11&lt;10,"0","")&amp;caldat!L11,"")</f>
        <v/>
      </c>
    </row>
    <row r="13" spans="1:14">
      <c r="A13" t="str">
        <f>'elev  az  illum'!$L$12</f>
        <v>2020  04-05    21:24:43</v>
      </c>
      <c r="C13" s="81">
        <f t="shared" ca="1" si="0"/>
        <v>11</v>
      </c>
      <c r="D13" s="37">
        <f>calc!$H$12</f>
        <v>49.653797307909109</v>
      </c>
      <c r="E13" s="38">
        <f>calc!$J$12</f>
        <v>176.56241252853619</v>
      </c>
      <c r="F13" s="76" t="str">
        <f>IF(calc!I12&gt;99.5,"FULL "&amp;ROUND(calc!I12,1),"")</f>
        <v/>
      </c>
      <c r="G13" s="81" t="str">
        <f>IF(F13&lt;&gt;"",caldat!S12&amp;"  "&amp;caldat!M12&amp;"-"&amp;IF(caldat!L12&lt;10,"0","")&amp;caldat!L12,"")</f>
        <v/>
      </c>
    </row>
    <row r="14" spans="1:14">
      <c r="A14" t="str">
        <f>'elev  az  illum'!$L$13</f>
        <v>2020  04-06    22:15:11,3</v>
      </c>
      <c r="C14" s="81">
        <f t="shared" ca="1" si="0"/>
        <v>12</v>
      </c>
      <c r="D14" s="37">
        <f>calc!$H$13</f>
        <v>43.543669552669542</v>
      </c>
      <c r="E14" s="38">
        <f>calc!$J$13</f>
        <v>175.5979843604992</v>
      </c>
      <c r="F14" s="75" t="str">
        <f>IF(calc!I13&gt;99.5,"FULL "&amp;ROUND(calc!I13,1),"")</f>
        <v/>
      </c>
      <c r="G14" s="81" t="str">
        <f>IF(F14&lt;&gt;"",caldat!S13&amp;"  "&amp;caldat!M13&amp;"-"&amp;IF(caldat!L13&lt;10,"0","")&amp;caldat!L13,"")</f>
        <v/>
      </c>
    </row>
    <row r="15" spans="1:14">
      <c r="A15" t="str">
        <f>'elev  az  illum'!$L$14</f>
        <v>2020  04-07    23:05:39,6</v>
      </c>
      <c r="C15" s="81">
        <f t="shared" ca="1" si="0"/>
        <v>13</v>
      </c>
      <c r="D15" s="37">
        <f>calc!$H$14</f>
        <v>37.109092054110313</v>
      </c>
      <c r="E15" s="38">
        <f>calc!$J$14</f>
        <v>174.95309474666089</v>
      </c>
      <c r="F15" s="76" t="str">
        <f>IF(calc!I14&gt;99.5,"FULL "&amp;ROUND(calc!I14,1),"")</f>
        <v>FULL 99,8</v>
      </c>
      <c r="G15" s="81" t="str">
        <f>IF(F15&lt;&gt;"",caldat!S14&amp;"  "&amp;caldat!M14&amp;"-"&amp;IF(caldat!L14&lt;10,"0","")&amp;caldat!L14,"")</f>
        <v>2020  04-07</v>
      </c>
    </row>
    <row r="16" spans="1:14">
      <c r="A16" t="str">
        <f>'elev  az  illum'!$L$15</f>
        <v>2020  04-08    23:56:07,9</v>
      </c>
      <c r="C16" s="81">
        <f t="shared" ca="1" si="0"/>
        <v>14</v>
      </c>
      <c r="D16" s="37">
        <f>calc!$H$15</f>
        <v>30.819964957703601</v>
      </c>
      <c r="E16" s="38">
        <f>calc!$J$15</f>
        <v>174.32136616333668</v>
      </c>
      <c r="F16" s="76" t="str">
        <f>IF(calc!I15&gt;99.5,"FULL "&amp;ROUND(calc!I15,1),"")</f>
        <v/>
      </c>
      <c r="G16" s="81" t="str">
        <f>IF(F16&lt;&gt;"",caldat!S15&amp;"  "&amp;caldat!M15&amp;"-"&amp;IF(caldat!L15&lt;10,"0","")&amp;caldat!L15,"")</f>
        <v/>
      </c>
    </row>
    <row r="17" spans="1:7">
      <c r="A17" t="str">
        <f>'elev  az  illum'!$L$16</f>
        <v>2020  04-10    00:46:36,2</v>
      </c>
      <c r="C17" s="81">
        <f t="shared" ca="1" si="0"/>
        <v>15</v>
      </c>
      <c r="D17" s="37">
        <f>calc!$H$16</f>
        <v>25.130027243221662</v>
      </c>
      <c r="E17" s="38">
        <f>calc!$J$16</f>
        <v>173.50376878185864</v>
      </c>
      <c r="F17" s="76" t="str">
        <f>IF(calc!I16&gt;99.5,"FULL "&amp;ROUND(calc!I16,1),"")</f>
        <v/>
      </c>
      <c r="G17" s="81" t="str">
        <f>IF(F17&lt;&gt;"",caldat!S16&amp;"  "&amp;caldat!M16&amp;"-"&amp;IF(caldat!L16&lt;10,"0","")&amp;caldat!L16,"")</f>
        <v/>
      </c>
    </row>
    <row r="18" spans="1:7">
      <c r="A18" t="str">
        <f>'elev  az  illum'!$L$17</f>
        <v>2020  04-11    01:37:04,5</v>
      </c>
      <c r="C18" s="81">
        <f t="shared" ca="1" si="0"/>
        <v>16</v>
      </c>
      <c r="D18" s="37">
        <f>calc!$H$17</f>
        <v>20.435202712599029</v>
      </c>
      <c r="E18" s="38">
        <f>calc!$J$17</f>
        <v>172.43045433374959</v>
      </c>
      <c r="F18" s="76" t="str">
        <f>IF(calc!I17&gt;99.5,"FULL "&amp;ROUND(calc!I17,1),"")</f>
        <v/>
      </c>
      <c r="G18" s="81" t="str">
        <f>IF(F18&lt;&gt;"",caldat!S17&amp;"  "&amp;caldat!M17&amp;"-"&amp;IF(caldat!L17&lt;10,"0","")&amp;caldat!L17,"")</f>
        <v/>
      </c>
    </row>
    <row r="19" spans="1:7">
      <c r="A19" t="str">
        <f>'elev  az  illum'!$L$18</f>
        <v>2020  04-12    02:27:32,8</v>
      </c>
      <c r="C19" s="81">
        <f t="shared" ca="1" si="0"/>
        <v>17</v>
      </c>
      <c r="D19" s="37">
        <f>calc!$H$18</f>
        <v>17.032165052502602</v>
      </c>
      <c r="E19" s="38">
        <f>calc!$J$18</f>
        <v>171.15510521923903</v>
      </c>
      <c r="F19" s="76" t="str">
        <f>IF(calc!I18&gt;99.5,"FULL "&amp;ROUND(calc!I18,1),"")</f>
        <v/>
      </c>
      <c r="G19" s="81" t="str">
        <f>IF(F19&lt;&gt;"",caldat!S18&amp;"  "&amp;caldat!M18&amp;"-"&amp;IF(caldat!L18&lt;10,"0","")&amp;caldat!L18,"")</f>
        <v/>
      </c>
    </row>
    <row r="20" spans="1:7">
      <c r="A20" t="str">
        <f>'elev  az  illum'!$L$19</f>
        <v>2020  04-13    03:18:01,1</v>
      </c>
      <c r="C20" s="81">
        <f t="shared" ca="1" si="0"/>
        <v>18</v>
      </c>
      <c r="D20" s="37">
        <f>calc!$H$19</f>
        <v>15.088960300867072</v>
      </c>
      <c r="E20" s="38">
        <f>calc!$J$19</f>
        <v>169.8270394319668</v>
      </c>
      <c r="F20" s="76" t="str">
        <f>IF(calc!I19&gt;99.5,"FULL "&amp;ROUND(calc!I19,1),"")</f>
        <v/>
      </c>
      <c r="G20" s="81" t="str">
        <f>IF(F20&lt;&gt;"",caldat!S19&amp;"  "&amp;caldat!M19&amp;"-"&amp;IF(caldat!L19&lt;10,"0","")&amp;caldat!L19,"")</f>
        <v/>
      </c>
    </row>
    <row r="21" spans="1:7">
      <c r="A21" t="str">
        <f>'elev  az  illum'!$L$20</f>
        <v>2020  04-14    04:08:29,4</v>
      </c>
      <c r="C21" s="81">
        <f t="shared" ca="1" si="0"/>
        <v>19</v>
      </c>
      <c r="D21" s="37">
        <f>calc!$H$20</f>
        <v>14.639492881537475</v>
      </c>
      <c r="E21" s="38">
        <f>calc!$J$20</f>
        <v>168.64533764563157</v>
      </c>
      <c r="F21" s="76" t="str">
        <f>IF(calc!I20&gt;99.5,"FULL "&amp;ROUND(calc!I20,1),"")</f>
        <v/>
      </c>
      <c r="G21" s="81" t="str">
        <f>IF(F21&lt;&gt;"",caldat!S20&amp;"  "&amp;caldat!M20&amp;"-"&amp;IF(caldat!L20&lt;10,"0","")&amp;caldat!L20,"")</f>
        <v/>
      </c>
    </row>
    <row r="22" spans="1:7">
      <c r="A22" t="str">
        <f>'elev  az  illum'!$L$21</f>
        <v>2020  04-15    04:58:57,7</v>
      </c>
      <c r="C22" s="81">
        <f t="shared" ca="1" si="0"/>
        <v>20</v>
      </c>
      <c r="D22" s="37">
        <f>calc!$H$21</f>
        <v>15.603568310205198</v>
      </c>
      <c r="E22" s="38">
        <f>calc!$J$21</f>
        <v>167.80802553697742</v>
      </c>
      <c r="F22" s="76" t="str">
        <f>IF(calc!I21&gt;99.5,"FULL "&amp;ROUND(calc!I21,1),"")</f>
        <v/>
      </c>
      <c r="G22" s="81" t="str">
        <f>IF(F22&lt;&gt;"",caldat!S21&amp;"  "&amp;caldat!M21&amp;"-"&amp;IF(caldat!L21&lt;10,"0","")&amp;caldat!L21,"")</f>
        <v/>
      </c>
    </row>
    <row r="23" spans="1:7">
      <c r="A23" t="str">
        <f>'elev  az  illum'!$L$22</f>
        <v>2020  04-16    05:49:26</v>
      </c>
      <c r="C23" s="81">
        <f t="shared" ca="1" si="0"/>
        <v>21</v>
      </c>
      <c r="D23" s="37">
        <f>calc!$H$22</f>
        <v>17.820394126533916</v>
      </c>
      <c r="E23" s="38">
        <f>calc!$J$22</f>
        <v>167.47326706743178</v>
      </c>
      <c r="F23" s="76" t="str">
        <f>IF(calc!I22&gt;99.5,"FULL "&amp;ROUND(calc!I22,1),"")</f>
        <v/>
      </c>
      <c r="G23" s="81" t="str">
        <f>IF(F23&lt;&gt;"",caldat!S22&amp;"  "&amp;caldat!M22&amp;"-"&amp;IF(caldat!L22&lt;10,"0","")&amp;caldat!L22,"")</f>
        <v/>
      </c>
    </row>
    <row r="24" spans="1:7">
      <c r="A24" t="str">
        <f>'elev  az  illum'!$L$23</f>
        <v>2020  04-17    06:39:54,3</v>
      </c>
      <c r="C24" s="81">
        <f t="shared" ca="1" si="0"/>
        <v>22</v>
      </c>
      <c r="D24" s="37">
        <f>calc!$H$23</f>
        <v>21.081481843393366</v>
      </c>
      <c r="E24" s="38">
        <f>calc!$J$23</f>
        <v>167.74162990189274</v>
      </c>
      <c r="F24" s="76" t="str">
        <f>IF(calc!I23&gt;99.5,"FULL "&amp;ROUND(calc!I23,1),"")</f>
        <v/>
      </c>
      <c r="G24" s="81" t="str">
        <f>IF(F24&lt;&gt;"",caldat!S23&amp;"  "&amp;caldat!M23&amp;"-"&amp;IF(caldat!L23&lt;10,"0","")&amp;caldat!L23,"")</f>
        <v/>
      </c>
    </row>
    <row r="25" spans="1:7">
      <c r="A25" t="str">
        <f>'elev  az  illum'!$L$24</f>
        <v>2020  04-18    07:30:22,6</v>
      </c>
      <c r="C25" s="81">
        <f t="shared" ca="1" si="0"/>
        <v>23</v>
      </c>
      <c r="D25" s="37">
        <f>calc!$H$24</f>
        <v>25.156510028613368</v>
      </c>
      <c r="E25" s="38">
        <f>calc!$J$24</f>
        <v>168.65599946964238</v>
      </c>
      <c r="F25" s="76" t="str">
        <f>IF(calc!I24&gt;99.5,"FULL "&amp;ROUND(calc!I24,1),"")</f>
        <v/>
      </c>
      <c r="G25" s="81" t="str">
        <f>IF(F25&lt;&gt;"",caldat!S24&amp;"  "&amp;caldat!M24&amp;"-"&amp;IF(caldat!L24&lt;10,"0","")&amp;caldat!L24,"")</f>
        <v/>
      </c>
    </row>
    <row r="26" spans="1:7">
      <c r="A26" t="str">
        <f>'elev  az  illum'!$L$25</f>
        <v>2020  04-19    08:20:50,9</v>
      </c>
      <c r="C26" s="81">
        <f t="shared" ca="1" si="0"/>
        <v>24</v>
      </c>
      <c r="D26" s="37">
        <f>calc!$H$25</f>
        <v>29.810661574355816</v>
      </c>
      <c r="E26" s="38">
        <f>calc!$J$25</f>
        <v>170.20901106972894</v>
      </c>
      <c r="F26" s="76" t="str">
        <f>IF(calc!I25&gt;99.5,"FULL "&amp;ROUND(calc!I25,1),"")</f>
        <v/>
      </c>
      <c r="G26" s="81" t="str">
        <f>IF(F26&lt;&gt;"",caldat!S25&amp;"  "&amp;caldat!M25&amp;"-"&amp;IF(caldat!L25&lt;10,"0","")&amp;caldat!L25,"")</f>
        <v/>
      </c>
    </row>
    <row r="27" spans="1:7">
      <c r="A27" t="str">
        <f>'elev  az  illum'!$L$26</f>
        <v>2020  04-20    09:11:19,2</v>
      </c>
      <c r="C27" s="81">
        <f t="shared" ca="1" si="0"/>
        <v>25</v>
      </c>
      <c r="D27" s="37">
        <f>calc!$H$26</f>
        <v>34.814639590779279</v>
      </c>
      <c r="E27" s="38">
        <f>calc!$J$26</f>
        <v>172.34882882474722</v>
      </c>
      <c r="F27" s="76" t="str">
        <f>IF(calc!I26&gt;99.5,"FULL "&amp;ROUND(calc!I26,1),"")</f>
        <v/>
      </c>
      <c r="G27" s="81" t="str">
        <f>IF(F27&lt;&gt;"",caldat!S26&amp;"  "&amp;caldat!M26&amp;"-"&amp;IF(caldat!L26&lt;10,"0","")&amp;caldat!L26,"")</f>
        <v/>
      </c>
    </row>
    <row r="28" spans="1:7">
      <c r="A28" t="str">
        <f>'elev  az  illum'!$L$27</f>
        <v>2020  04-21    10:01:47,5</v>
      </c>
      <c r="C28" s="81">
        <f t="shared" ca="1" si="0"/>
        <v>26</v>
      </c>
      <c r="D28" s="37">
        <f>calc!$H$27</f>
        <v>39.949969039943042</v>
      </c>
      <c r="E28" s="38">
        <f>calc!$J$27</f>
        <v>174.97820020143723</v>
      </c>
      <c r="F28" s="76" t="str">
        <f>IF(calc!I27&gt;99.5,"FULL "&amp;ROUND(calc!I27,1),"")</f>
        <v/>
      </c>
      <c r="G28" s="81" t="str">
        <f>IF(F28&lt;&gt;"",caldat!S27&amp;"  "&amp;caldat!M27&amp;"-"&amp;IF(caldat!L27&lt;10,"0","")&amp;caldat!L27,"")</f>
        <v/>
      </c>
    </row>
    <row r="29" spans="1:7">
      <c r="A29" t="str">
        <f>'elev  az  illum'!$L$28</f>
        <v>2020  04-22    10:52:15,8</v>
      </c>
      <c r="C29" s="81">
        <f t="shared" ca="1" si="0"/>
        <v>27</v>
      </c>
      <c r="D29" s="37">
        <f>calc!$H$28</f>
        <v>45.011565682502095</v>
      </c>
      <c r="E29" s="38">
        <f>calc!$J$28</f>
        <v>177.94527766741521</v>
      </c>
      <c r="F29" s="76" t="str">
        <f>IF(calc!I28&gt;99.5,"FULL "&amp;ROUND(calc!I28,1),"")</f>
        <v/>
      </c>
      <c r="G29" s="81" t="str">
        <f>IF(F29&lt;&gt;"",caldat!S28&amp;"  "&amp;caldat!M28&amp;"-"&amp;IF(caldat!L28&lt;10,"0","")&amp;caldat!L28,"")</f>
        <v/>
      </c>
    </row>
    <row r="30" spans="1:7">
      <c r="A30" t="str">
        <f>'elev  az  illum'!$L$29</f>
        <v>2020  04-23    11:42:44,1</v>
      </c>
      <c r="C30" s="81">
        <f t="shared" ca="1" si="0"/>
        <v>28</v>
      </c>
      <c r="D30" s="37">
        <f>calc!$H$29</f>
        <v>49.808103589306263</v>
      </c>
      <c r="E30" s="38">
        <f>calc!$J$29</f>
        <v>181.02758744084286</v>
      </c>
      <c r="F30" s="76" t="str">
        <f>IF(calc!I29&gt;99.5,"FULL "&amp;ROUND(calc!I29,1),"")</f>
        <v/>
      </c>
      <c r="G30" s="81" t="str">
        <f>IF(F30&lt;&gt;"",caldat!S29&amp;"  "&amp;caldat!M29&amp;"-"&amp;IF(caldat!L29&lt;10,"0","")&amp;caldat!L29,"")</f>
        <v/>
      </c>
    </row>
    <row r="31" spans="1:7">
      <c r="A31" t="str">
        <f>'elev  az  illum'!$L$30</f>
        <v>2020  04-24    12:33:12,4</v>
      </c>
      <c r="C31" s="81">
        <f t="shared" ca="1" si="0"/>
        <v>29</v>
      </c>
      <c r="D31" s="37">
        <f>calc!$H$30</f>
        <v>54.159472650360456</v>
      </c>
      <c r="E31" s="38">
        <f>calc!$J$30</f>
        <v>183.91519526438947</v>
      </c>
      <c r="F31" s="76" t="str">
        <f>IF(calc!I30&gt;99.5,"FULL "&amp;ROUND(calc!I30,1),"")</f>
        <v/>
      </c>
      <c r="G31" s="81" t="str">
        <f>IF(F31&lt;&gt;"",caldat!S30&amp;"  "&amp;caldat!M30&amp;"-"&amp;IF(caldat!L30&lt;10,"0","")&amp;caldat!L30,"")</f>
        <v/>
      </c>
    </row>
    <row r="32" spans="1:7">
      <c r="A32" t="str">
        <f>'elev  az  illum'!$L$31</f>
        <v>2020  04-25    13:23:40,7</v>
      </c>
      <c r="C32" s="81">
        <f t="shared" ca="1" si="0"/>
        <v>30</v>
      </c>
      <c r="D32" s="37">
        <f>calc!$H$31</f>
        <v>57.889922943576622</v>
      </c>
      <c r="E32" s="38">
        <f>calc!$J$31</f>
        <v>186.20934776934183</v>
      </c>
      <c r="F32" s="76" t="str">
        <f>IF(calc!I31&gt;99.5,"FULL "&amp;ROUND(calc!I31,1),"")</f>
        <v/>
      </c>
      <c r="G32" s="81" t="str">
        <f>IF(F32&lt;&gt;"",caldat!S31&amp;"  "&amp;caldat!M31&amp;"-"&amp;IF(caldat!L31&lt;10,"0","")&amp;caldat!L31,"")</f>
        <v/>
      </c>
    </row>
    <row r="33" spans="1:7">
      <c r="A33" s="82" t="str">
        <f>'elev  az  illum'!$L$32</f>
        <v>2020  04-26    14:14:09</v>
      </c>
      <c r="B33" s="20"/>
      <c r="C33" s="81">
        <f t="shared" ca="1" si="0"/>
        <v>31</v>
      </c>
      <c r="D33" s="37">
        <f>calc!$H$32</f>
        <v>60.816530441028974</v>
      </c>
      <c r="E33" s="38">
        <f>calc!$J$32</f>
        <v>187.4706347786763</v>
      </c>
      <c r="F33" s="76" t="str">
        <f>IF(calc!I32&gt;99.5,"FULL "&amp;ROUND(calc!I32,1),"")</f>
        <v/>
      </c>
      <c r="G33" s="81" t="str">
        <f>IF(F33&lt;&gt;"",caldat!S32&amp;"  "&amp;caldat!M32&amp;"-"&amp;IF(caldat!L32&lt;10,"0","")&amp;caldat!L32,"")</f>
        <v/>
      </c>
    </row>
    <row r="34" spans="1:7">
      <c r="C34"/>
      <c r="F34"/>
    </row>
    <row r="35" spans="1:7">
      <c r="C35"/>
      <c r="F35"/>
    </row>
    <row r="36" spans="1:7">
      <c r="C36"/>
      <c r="F36"/>
    </row>
    <row r="37" spans="1:7">
      <c r="C37"/>
      <c r="F37"/>
    </row>
    <row r="38" spans="1:7">
      <c r="C38"/>
      <c r="F38"/>
    </row>
    <row r="39" spans="1:7">
      <c r="C39"/>
      <c r="F39"/>
    </row>
    <row r="40" spans="1:7">
      <c r="C40"/>
      <c r="F40"/>
    </row>
    <row r="41" spans="1:7">
      <c r="C41"/>
      <c r="F41"/>
    </row>
    <row r="42" spans="1:7">
      <c r="C42"/>
      <c r="F42"/>
    </row>
    <row r="43" spans="1:7">
      <c r="C43"/>
      <c r="F43"/>
    </row>
    <row r="44" spans="1:7">
      <c r="C44"/>
      <c r="F44"/>
    </row>
    <row r="45" spans="1:7">
      <c r="C45"/>
      <c r="F45"/>
    </row>
    <row r="46" spans="1:7">
      <c r="C46"/>
      <c r="F46"/>
    </row>
    <row r="47" spans="1:7">
      <c r="C47"/>
      <c r="F47"/>
    </row>
    <row r="48" spans="1:7">
      <c r="C48"/>
      <c r="F48"/>
    </row>
    <row r="49" spans="3:6">
      <c r="C49"/>
      <c r="F49"/>
    </row>
    <row r="50" spans="3:6">
      <c r="C50"/>
      <c r="F50"/>
    </row>
    <row r="51" spans="3:6">
      <c r="C51"/>
      <c r="F51"/>
    </row>
  </sheetData>
  <mergeCells count="2">
    <mergeCell ref="H2:I2"/>
    <mergeCell ref="J2:K2"/>
  </mergeCells>
  <pageMargins left="0.78749999999999998" right="0.78749999999999998" top="0.78749999999999998" bottom="0.78749999999999998" header="0.511811023622047" footer="0.511811023622047"/>
  <pageSetup paperSize="9" orientation="portrait" horizontalDpi="300" verticalDpi="300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3"/>
  <sheetViews>
    <sheetView zoomScaleNormal="100" workbookViewId="0">
      <selection activeCell="D63" sqref="D63:E63"/>
    </sheetView>
  </sheetViews>
  <sheetFormatPr baseColWidth="10" defaultColWidth="9.6640625" defaultRowHeight="16"/>
  <cols>
    <col min="2" max="2" width="13.5" customWidth="1"/>
    <col min="3" max="3" width="4.5" style="75" customWidth="1"/>
    <col min="4" max="4" width="7" customWidth="1"/>
    <col min="5" max="5" width="7.6640625" customWidth="1"/>
    <col min="6" max="6" width="8" style="83" customWidth="1"/>
    <col min="7" max="7" width="8.6640625" customWidth="1"/>
    <col min="10" max="10" width="10.6640625" customWidth="1"/>
    <col min="13" max="14" width="6.33203125" customWidth="1"/>
    <col min="15" max="15" width="7.83203125" customWidth="1"/>
  </cols>
  <sheetData>
    <row r="2" spans="1:13">
      <c r="A2" s="77" t="str">
        <f>'elev  az  illum'!$L$1</f>
        <v>year   d-m         UT</v>
      </c>
      <c r="B2" s="78"/>
      <c r="D2" s="37" t="s">
        <v>15</v>
      </c>
      <c r="E2" s="79" t="s">
        <v>18</v>
      </c>
      <c r="G2" s="95" t="s">
        <v>82</v>
      </c>
      <c r="H2" s="95"/>
      <c r="I2" s="96" t="s">
        <v>83</v>
      </c>
      <c r="J2" s="96"/>
      <c r="K2" s="16" t="str">
        <f>input!$D$1</f>
        <v>Lat.</v>
      </c>
      <c r="L2" s="16" t="str">
        <f>input!$E$1</f>
        <v>Long.</v>
      </c>
      <c r="M2" s="17" t="s">
        <v>84</v>
      </c>
    </row>
    <row r="3" spans="1:13">
      <c r="A3" s="78" t="str">
        <f>'elev  az  illum'!$L$2</f>
        <v>2020  03-26    12:59:60</v>
      </c>
      <c r="B3" s="78"/>
      <c r="C3" s="90">
        <f t="shared" ref="C3:C34" ca="1" si="0">CELL("ROW",B3)-2</f>
        <v>1</v>
      </c>
      <c r="D3" s="91">
        <f>calc!$H$2</f>
        <v>46.586159553269994</v>
      </c>
      <c r="E3" s="92">
        <f>calc!$J$2</f>
        <v>180.32002311537519</v>
      </c>
      <c r="F3" s="83" t="str">
        <f>IF(calc!I2&gt;99.5,"FULL "&amp;ROUND(calc!I2,1),"")</f>
        <v/>
      </c>
      <c r="G3" s="19" t="str">
        <f>Analemma1!$A$3</f>
        <v>2020  03-26    12:59:60</v>
      </c>
      <c r="H3" s="19"/>
      <c r="I3" s="84" t="str">
        <f>Analemma2!$A$63</f>
        <v>2020  05-28    16:18:46,3</v>
      </c>
      <c r="J3" s="20"/>
      <c r="K3" s="21">
        <f>input!$D$2</f>
        <v>50</v>
      </c>
      <c r="L3" s="21">
        <f>input!$E$2</f>
        <v>10</v>
      </c>
      <c r="M3" s="22">
        <f>calc!$J$69</f>
        <v>22.51738546193701</v>
      </c>
    </row>
    <row r="4" spans="1:13">
      <c r="A4" t="str">
        <f>'elev  az  illum'!$L$3</f>
        <v>2020  03-27    13:50:28,3</v>
      </c>
      <c r="C4" s="81">
        <f t="shared" ca="1" si="0"/>
        <v>2</v>
      </c>
      <c r="D4" s="91">
        <f>calc!$H$3</f>
        <v>51.155070437167197</v>
      </c>
      <c r="E4" s="92">
        <f>calc!$J$3</f>
        <v>183.54859671035501</v>
      </c>
      <c r="F4" s="83" t="str">
        <f>IF(calc!I3&gt;99.5,"FULL "&amp;ROUND(calc!I3,1),"")</f>
        <v/>
      </c>
    </row>
    <row r="5" spans="1:13">
      <c r="A5" t="str">
        <f>'elev  az  illum'!$L$4</f>
        <v>2020  03-28    14:40:56,6</v>
      </c>
      <c r="C5" s="81">
        <f t="shared" ca="1" si="0"/>
        <v>3</v>
      </c>
      <c r="D5" s="91">
        <f>calc!$H$4</f>
        <v>55.222071777594643</v>
      </c>
      <c r="E5" s="92">
        <f>calc!$J$4</f>
        <v>186.51301956798125</v>
      </c>
      <c r="F5" s="83" t="str">
        <f>IF(calc!I4&gt;99.5,"FULL "&amp;ROUND(calc!I4,1),"")</f>
        <v/>
      </c>
    </row>
    <row r="6" spans="1:13">
      <c r="A6" t="str">
        <f>'elev  az  illum'!$L$5</f>
        <v>2020  03-29    15:31:24,9</v>
      </c>
      <c r="C6" s="81">
        <f t="shared" ca="1" si="0"/>
        <v>4</v>
      </c>
      <c r="D6" s="91">
        <f>calc!$H$5</f>
        <v>58.63072590063453</v>
      </c>
      <c r="E6" s="92">
        <f>calc!$J$5</f>
        <v>188.75936624232327</v>
      </c>
      <c r="F6" s="83" t="str">
        <f>IF(calc!I5&gt;99.5,"FULL "&amp;ROUND(calc!I5,1),"")</f>
        <v/>
      </c>
    </row>
    <row r="7" spans="1:13">
      <c r="A7" t="str">
        <f>'elev  az  illum'!$L$6</f>
        <v>2020  03-30    16:21:53,2</v>
      </c>
      <c r="C7" s="81">
        <f t="shared" ca="1" si="0"/>
        <v>5</v>
      </c>
      <c r="D7" s="91">
        <f>calc!$H$6</f>
        <v>61.214018842797415</v>
      </c>
      <c r="E7" s="92">
        <f>calc!$J$6</f>
        <v>189.78060842918586</v>
      </c>
      <c r="F7" s="83" t="str">
        <f>IF(calc!I6&gt;99.5,"FULL "&amp;ROUND(calc!I6,1),"")</f>
        <v/>
      </c>
    </row>
    <row r="8" spans="1:13">
      <c r="A8" t="str">
        <f>'elev  az  illum'!$L$7</f>
        <v>2020  03-31    17:12:21,5</v>
      </c>
      <c r="C8" s="81">
        <f t="shared" ca="1" si="0"/>
        <v>6</v>
      </c>
      <c r="D8" s="91">
        <f>calc!$H$7</f>
        <v>62.771133710177409</v>
      </c>
      <c r="E8" s="92">
        <f>calc!$J$7</f>
        <v>189.19037883214651</v>
      </c>
      <c r="F8" s="83" t="str">
        <f>IF(calc!I7&gt;99.5,"FULL "&amp;ROUND(calc!I7,1),"")</f>
        <v/>
      </c>
    </row>
    <row r="9" spans="1:13">
      <c r="A9" t="str">
        <f>'elev  az  illum'!$L$8</f>
        <v>2020  04-01    18:02:49,8</v>
      </c>
      <c r="C9" s="81">
        <f t="shared" ca="1" si="0"/>
        <v>7</v>
      </c>
      <c r="D9" s="91">
        <f>calc!$H$8</f>
        <v>63.067272121959071</v>
      </c>
      <c r="E9" s="92">
        <f>calc!$J$8</f>
        <v>187.01136348762321</v>
      </c>
      <c r="F9" s="83" t="str">
        <f>IF(calc!I8&gt;99.5,"FULL "&amp;ROUND(calc!I8,1),"")</f>
        <v/>
      </c>
    </row>
    <row r="10" spans="1:13">
      <c r="A10" t="str">
        <f>'elev  az  illum'!$L$9</f>
        <v>2020  04-02    18:53:18,1</v>
      </c>
      <c r="C10" s="81">
        <f t="shared" ca="1" si="0"/>
        <v>8</v>
      </c>
      <c r="D10" s="91">
        <f>calc!$H$9</f>
        <v>61.892140394452973</v>
      </c>
      <c r="E10" s="92">
        <f>calc!$J$9</f>
        <v>183.85860002793061</v>
      </c>
      <c r="F10" s="83" t="str">
        <f>IF(calc!I9&gt;99.5,"FULL "&amp;ROUND(calc!I9,1),"")</f>
        <v/>
      </c>
    </row>
    <row r="11" spans="1:13">
      <c r="A11" t="str">
        <f>'elev  az  illum'!$L$10</f>
        <v>2020  04-03    19:43:46,4</v>
      </c>
      <c r="C11" s="81">
        <f t="shared" ca="1" si="0"/>
        <v>9</v>
      </c>
      <c r="D11" s="91">
        <f>calc!$H$10</f>
        <v>59.163313054658886</v>
      </c>
      <c r="E11" s="92">
        <f>calc!$J$10</f>
        <v>180.68008057037616</v>
      </c>
      <c r="F11" s="83" t="str">
        <f>IF(calc!I10&gt;99.5,"FULL "&amp;ROUND(calc!I10,1),"")</f>
        <v/>
      </c>
    </row>
    <row r="12" spans="1:13">
      <c r="A12" t="str">
        <f>'elev  az  illum'!$L$11</f>
        <v>2020  04-04    20:34:14,7</v>
      </c>
      <c r="C12" s="81">
        <f t="shared" ca="1" si="0"/>
        <v>10</v>
      </c>
      <c r="D12" s="91">
        <f>calc!$H$11</f>
        <v>54.990434146296117</v>
      </c>
      <c r="E12" s="92">
        <f>calc!$J$11</f>
        <v>178.18722453189093</v>
      </c>
      <c r="F12" s="83" t="str">
        <f>IF(calc!I11&gt;99.5,"FULL "&amp;ROUND(calc!I11,1),"")</f>
        <v/>
      </c>
    </row>
    <row r="13" spans="1:13">
      <c r="A13" t="str">
        <f>'elev  az  illum'!$L$12</f>
        <v>2020  04-05    21:24:43</v>
      </c>
      <c r="C13" s="81">
        <f t="shared" ca="1" si="0"/>
        <v>11</v>
      </c>
      <c r="D13" s="91">
        <f>calc!$H$12</f>
        <v>49.653797307909109</v>
      </c>
      <c r="E13" s="92">
        <f>calc!$J$12</f>
        <v>176.56241252853619</v>
      </c>
      <c r="F13" s="83" t="str">
        <f>IF(calc!I12&gt;99.5,"FULL "&amp;ROUND(calc!I12,1),"")</f>
        <v/>
      </c>
    </row>
    <row r="14" spans="1:13">
      <c r="A14" t="str">
        <f>'elev  az  illum'!$L$13</f>
        <v>2020  04-06    22:15:11,3</v>
      </c>
      <c r="C14" s="81">
        <f t="shared" ca="1" si="0"/>
        <v>12</v>
      </c>
      <c r="D14" s="91">
        <f>calc!$H$13</f>
        <v>43.543669552669542</v>
      </c>
      <c r="E14" s="92">
        <f>calc!$J$13</f>
        <v>175.5979843604992</v>
      </c>
      <c r="F14" s="83" t="str">
        <f>IF(calc!I13&gt;99.5,"FULL "&amp;ROUND(calc!I13,1),"")</f>
        <v/>
      </c>
    </row>
    <row r="15" spans="1:13">
      <c r="A15" t="str">
        <f>'elev  az  illum'!$L$14</f>
        <v>2020  04-07    23:05:39,6</v>
      </c>
      <c r="C15" s="81">
        <f t="shared" ca="1" si="0"/>
        <v>13</v>
      </c>
      <c r="D15" s="91">
        <f>calc!$H$14</f>
        <v>37.109092054110313</v>
      </c>
      <c r="E15" s="92">
        <f>calc!$J$14</f>
        <v>174.95309474666089</v>
      </c>
      <c r="F15" s="83" t="str">
        <f>IF(calc!I14&gt;99.5,"FULL "&amp;ROUND(calc!I14,1),"")</f>
        <v>FULL 99,8</v>
      </c>
    </row>
    <row r="16" spans="1:13">
      <c r="A16" t="str">
        <f>'elev  az  illum'!$L$15</f>
        <v>2020  04-08    23:56:07,9</v>
      </c>
      <c r="C16" s="81">
        <f t="shared" ca="1" si="0"/>
        <v>14</v>
      </c>
      <c r="D16" s="91">
        <f>calc!$H$15</f>
        <v>30.819964957703601</v>
      </c>
      <c r="E16" s="92">
        <f>calc!$J$15</f>
        <v>174.32136616333668</v>
      </c>
      <c r="F16" s="83" t="str">
        <f>IF(calc!I15&gt;99.5,"FULL "&amp;ROUND(calc!I15,1),"")</f>
        <v/>
      </c>
    </row>
    <row r="17" spans="1:6">
      <c r="A17" t="str">
        <f>'elev  az  illum'!$L$16</f>
        <v>2020  04-10    00:46:36,2</v>
      </c>
      <c r="C17" s="81">
        <f t="shared" ca="1" si="0"/>
        <v>15</v>
      </c>
      <c r="D17" s="91">
        <f>calc!$H$16</f>
        <v>25.130027243221662</v>
      </c>
      <c r="E17" s="92">
        <f>calc!$J$16</f>
        <v>173.50376878185864</v>
      </c>
      <c r="F17" s="83" t="str">
        <f>IF(calc!I16&gt;99.5,"FULL "&amp;ROUND(calc!I16,1),"")</f>
        <v/>
      </c>
    </row>
    <row r="18" spans="1:6">
      <c r="A18" t="str">
        <f>'elev  az  illum'!$L$17</f>
        <v>2020  04-11    01:37:04,5</v>
      </c>
      <c r="C18" s="81">
        <f t="shared" ca="1" si="0"/>
        <v>16</v>
      </c>
      <c r="D18" s="91">
        <f>calc!$H$17</f>
        <v>20.435202712599029</v>
      </c>
      <c r="E18" s="92">
        <f>calc!$J$17</f>
        <v>172.43045433374959</v>
      </c>
      <c r="F18" s="83" t="str">
        <f>IF(calc!I17&gt;99.5,"FULL "&amp;ROUND(calc!I17,1),"")</f>
        <v/>
      </c>
    </row>
    <row r="19" spans="1:6">
      <c r="A19" t="str">
        <f>'elev  az  illum'!$L$18</f>
        <v>2020  04-12    02:27:32,8</v>
      </c>
      <c r="C19" s="81">
        <f t="shared" ca="1" si="0"/>
        <v>17</v>
      </c>
      <c r="D19" s="91">
        <f>calc!$H$18</f>
        <v>17.032165052502602</v>
      </c>
      <c r="E19" s="92">
        <f>calc!$J$18</f>
        <v>171.15510521923903</v>
      </c>
      <c r="F19" s="83" t="str">
        <f>IF(calc!I18&gt;99.5,"FULL "&amp;ROUND(calc!I18,1),"")</f>
        <v/>
      </c>
    </row>
    <row r="20" spans="1:6">
      <c r="A20" t="str">
        <f>'elev  az  illum'!$L$19</f>
        <v>2020  04-13    03:18:01,1</v>
      </c>
      <c r="C20" s="81">
        <f t="shared" ca="1" si="0"/>
        <v>18</v>
      </c>
      <c r="D20" s="91">
        <f>calc!$H$19</f>
        <v>15.088960300867072</v>
      </c>
      <c r="E20" s="92">
        <f>calc!$J$19</f>
        <v>169.8270394319668</v>
      </c>
      <c r="F20" s="83" t="str">
        <f>IF(calc!I19&gt;99.5,"FULL "&amp;ROUND(calc!I19,1),"")</f>
        <v/>
      </c>
    </row>
    <row r="21" spans="1:6">
      <c r="A21" t="str">
        <f>'elev  az  illum'!$L$20</f>
        <v>2020  04-14    04:08:29,4</v>
      </c>
      <c r="C21" s="81">
        <f t="shared" ca="1" si="0"/>
        <v>19</v>
      </c>
      <c r="D21" s="91">
        <f>calc!$H$20</f>
        <v>14.639492881537475</v>
      </c>
      <c r="E21" s="92">
        <f>calc!$J$20</f>
        <v>168.64533764563157</v>
      </c>
      <c r="F21" s="83" t="str">
        <f>IF(calc!I20&gt;99.5,"FULL "&amp;ROUND(calc!I20,1),"")</f>
        <v/>
      </c>
    </row>
    <row r="22" spans="1:6">
      <c r="A22" t="str">
        <f>'elev  az  illum'!$L$21</f>
        <v>2020  04-15    04:58:57,7</v>
      </c>
      <c r="C22" s="81">
        <f t="shared" ca="1" si="0"/>
        <v>20</v>
      </c>
      <c r="D22" s="91">
        <f>calc!$H$21</f>
        <v>15.603568310205198</v>
      </c>
      <c r="E22" s="92">
        <f>calc!$J$21</f>
        <v>167.80802553697742</v>
      </c>
      <c r="F22" s="83" t="str">
        <f>IF(calc!I21&gt;99.5,"FULL "&amp;ROUND(calc!I21,1),"")</f>
        <v/>
      </c>
    </row>
    <row r="23" spans="1:6">
      <c r="A23" t="str">
        <f>'elev  az  illum'!$L$22</f>
        <v>2020  04-16    05:49:26</v>
      </c>
      <c r="C23" s="81">
        <f t="shared" ca="1" si="0"/>
        <v>21</v>
      </c>
      <c r="D23" s="91">
        <f>calc!$H$22</f>
        <v>17.820394126533916</v>
      </c>
      <c r="E23" s="92">
        <f>calc!$J$22</f>
        <v>167.47326706743178</v>
      </c>
      <c r="F23" s="83" t="str">
        <f>IF(calc!I22&gt;99.5,"FULL "&amp;ROUND(calc!I22,1),"")</f>
        <v/>
      </c>
    </row>
    <row r="24" spans="1:6">
      <c r="A24" t="str">
        <f>'elev  az  illum'!$L$23</f>
        <v>2020  04-17    06:39:54,3</v>
      </c>
      <c r="C24" s="81">
        <f t="shared" ca="1" si="0"/>
        <v>22</v>
      </c>
      <c r="D24" s="91">
        <f>calc!$H$23</f>
        <v>21.081481843393366</v>
      </c>
      <c r="E24" s="92">
        <f>calc!$J$23</f>
        <v>167.74162990189274</v>
      </c>
      <c r="F24" s="83" t="str">
        <f>IF(calc!I23&gt;99.5,"FULL "&amp;ROUND(calc!I23,1),"")</f>
        <v/>
      </c>
    </row>
    <row r="25" spans="1:6">
      <c r="A25" t="str">
        <f>'elev  az  illum'!$L$24</f>
        <v>2020  04-18    07:30:22,6</v>
      </c>
      <c r="C25" s="81">
        <f t="shared" ca="1" si="0"/>
        <v>23</v>
      </c>
      <c r="D25" s="91">
        <f>calc!$H$24</f>
        <v>25.156510028613368</v>
      </c>
      <c r="E25" s="92">
        <f>calc!$J$24</f>
        <v>168.65599946964238</v>
      </c>
      <c r="F25" s="83" t="str">
        <f>IF(calc!I24&gt;99.5,"FULL "&amp;ROUND(calc!I24,1),"")</f>
        <v/>
      </c>
    </row>
    <row r="26" spans="1:6">
      <c r="A26" t="str">
        <f>'elev  az  illum'!$L$25</f>
        <v>2020  04-19    08:20:50,9</v>
      </c>
      <c r="C26" s="81">
        <f t="shared" ca="1" si="0"/>
        <v>24</v>
      </c>
      <c r="D26" s="91">
        <f>calc!$H$25</f>
        <v>29.810661574355816</v>
      </c>
      <c r="E26" s="92">
        <f>calc!$J$25</f>
        <v>170.20901106972894</v>
      </c>
      <c r="F26" s="83" t="str">
        <f>IF(calc!I25&gt;99.5,"FULL "&amp;ROUND(calc!I25,1),"")</f>
        <v/>
      </c>
    </row>
    <row r="27" spans="1:6">
      <c r="A27" t="str">
        <f>'elev  az  illum'!$L$26</f>
        <v>2020  04-20    09:11:19,2</v>
      </c>
      <c r="C27" s="81">
        <f t="shared" ca="1" si="0"/>
        <v>25</v>
      </c>
      <c r="D27" s="91">
        <f>calc!$H$26</f>
        <v>34.814639590779279</v>
      </c>
      <c r="E27" s="92">
        <f>calc!$J$26</f>
        <v>172.34882882474722</v>
      </c>
      <c r="F27" s="83" t="str">
        <f>IF(calc!I26&gt;99.5,"FULL "&amp;ROUND(calc!I26,1),"")</f>
        <v/>
      </c>
    </row>
    <row r="28" spans="1:6">
      <c r="A28" t="str">
        <f>'elev  az  illum'!$L$27</f>
        <v>2020  04-21    10:01:47,5</v>
      </c>
      <c r="C28" s="81">
        <f t="shared" ca="1" si="0"/>
        <v>26</v>
      </c>
      <c r="D28" s="91">
        <f>calc!$H$27</f>
        <v>39.949969039943042</v>
      </c>
      <c r="E28" s="92">
        <f>calc!$J$27</f>
        <v>174.97820020143723</v>
      </c>
      <c r="F28" s="83" t="str">
        <f>IF(calc!I27&gt;99.5,"FULL "&amp;ROUND(calc!I27,1),"")</f>
        <v/>
      </c>
    </row>
    <row r="29" spans="1:6">
      <c r="A29" t="str">
        <f>'elev  az  illum'!$L$28</f>
        <v>2020  04-22    10:52:15,8</v>
      </c>
      <c r="C29" s="81">
        <f t="shared" ca="1" si="0"/>
        <v>27</v>
      </c>
      <c r="D29" s="91">
        <f>calc!$H$28</f>
        <v>45.011565682502095</v>
      </c>
      <c r="E29" s="92">
        <f>calc!$J$28</f>
        <v>177.94527766741521</v>
      </c>
      <c r="F29" s="83" t="str">
        <f>IF(calc!I28&gt;99.5,"FULL "&amp;ROUND(calc!I28,1),"")</f>
        <v/>
      </c>
    </row>
    <row r="30" spans="1:6">
      <c r="A30" t="str">
        <f>'elev  az  illum'!$L$29</f>
        <v>2020  04-23    11:42:44,1</v>
      </c>
      <c r="C30" s="81">
        <f t="shared" ca="1" si="0"/>
        <v>28</v>
      </c>
      <c r="D30" s="91">
        <f>calc!$H$29</f>
        <v>49.808103589306263</v>
      </c>
      <c r="E30" s="92">
        <f>calc!$J$29</f>
        <v>181.02758744084286</v>
      </c>
      <c r="F30" s="83" t="str">
        <f>IF(calc!I29&gt;99.5,"FULL "&amp;ROUND(calc!I29,1),"")</f>
        <v/>
      </c>
    </row>
    <row r="31" spans="1:6">
      <c r="A31" t="str">
        <f>'elev  az  illum'!$L$30</f>
        <v>2020  04-24    12:33:12,4</v>
      </c>
      <c r="C31" s="81">
        <f t="shared" ca="1" si="0"/>
        <v>29</v>
      </c>
      <c r="D31" s="91">
        <f>calc!$H$30</f>
        <v>54.159472650360456</v>
      </c>
      <c r="E31" s="92">
        <f>calc!$J$30</f>
        <v>183.91519526438947</v>
      </c>
      <c r="F31" s="83" t="str">
        <f>IF(calc!I30&gt;99.5,"FULL "&amp;ROUND(calc!I30,1),"")</f>
        <v/>
      </c>
    </row>
    <row r="32" spans="1:6">
      <c r="A32" t="str">
        <f>'elev  az  illum'!$L$31</f>
        <v>2020  04-25    13:23:40,7</v>
      </c>
      <c r="C32" s="81">
        <f t="shared" ca="1" si="0"/>
        <v>30</v>
      </c>
      <c r="D32" s="91">
        <f>calc!$H$31</f>
        <v>57.889922943576622</v>
      </c>
      <c r="E32" s="92">
        <f>calc!$J$31</f>
        <v>186.20934776934183</v>
      </c>
      <c r="F32" s="83" t="str">
        <f>IF(calc!I31&gt;99.5,"FULL "&amp;ROUND(calc!I31,1),"")</f>
        <v/>
      </c>
    </row>
    <row r="33" spans="1:6" s="63" customFormat="1">
      <c r="A33" s="82" t="str">
        <f>'elev  az  illum'!$L$32</f>
        <v>2020  04-26    14:14:09</v>
      </c>
      <c r="B33" s="20"/>
      <c r="C33" s="81">
        <f t="shared" ca="1" si="0"/>
        <v>31</v>
      </c>
      <c r="D33" s="88">
        <f>calc!$H$32</f>
        <v>60.816530441028974</v>
      </c>
      <c r="E33" s="89">
        <f>calc!$J$32</f>
        <v>187.4706347786763</v>
      </c>
      <c r="F33" s="76" t="str">
        <f>IF(calc!I32&gt;99.5,"FULL "&amp;ROUND(calc!I32,1),"")</f>
        <v/>
      </c>
    </row>
    <row r="34" spans="1:6">
      <c r="A34" s="48" t="str">
        <f>caldat!$T$33</f>
        <v>2020  04-27    15:04:37,3</v>
      </c>
      <c r="C34" s="81">
        <f t="shared" ca="1" si="0"/>
        <v>32</v>
      </c>
      <c r="D34" s="66">
        <f>'elev  az  illum'!$G$33</f>
        <v>62.738502259568996</v>
      </c>
      <c r="E34" s="87">
        <f>'elev  az  illum'!$H$33</f>
        <v>187.36258673810022</v>
      </c>
      <c r="F34" s="83" t="str">
        <f>IF(calc!I33&gt;99.5,"FULL "&amp;ROUND(calc!I33,1),"")</f>
        <v/>
      </c>
    </row>
    <row r="35" spans="1:6">
      <c r="A35" s="48" t="str">
        <f>caldat!$T$34</f>
        <v>2020  04-28    15:55:05,6</v>
      </c>
      <c r="C35" s="81">
        <f t="shared" ref="C35:C63" ca="1" si="1">CELL("ROW",B35)-2</f>
        <v>33</v>
      </c>
      <c r="D35" s="66">
        <f>'elev  az  illum'!$G$34</f>
        <v>63.444536090895213</v>
      </c>
      <c r="E35" s="87">
        <f>'elev  az  illum'!$H$34</f>
        <v>185.88663281536304</v>
      </c>
      <c r="F35" s="83" t="str">
        <f>IF(calc!I34&gt;99.5,"FULL "&amp;ROUND(calc!I34,1),"")</f>
        <v/>
      </c>
    </row>
    <row r="36" spans="1:6">
      <c r="A36" s="48" t="str">
        <f>caldat!$T$35</f>
        <v>2020  04-29    16:45:33,9</v>
      </c>
      <c r="C36" s="81">
        <f t="shared" ca="1" si="1"/>
        <v>34</v>
      </c>
      <c r="D36" s="66">
        <f>'elev  az  illum'!$G$35</f>
        <v>62.758045390280429</v>
      </c>
      <c r="E36" s="87">
        <f>'elev  az  illum'!$H$35</f>
        <v>183.53568033090301</v>
      </c>
      <c r="F36" s="83" t="str">
        <f>IF(calc!I35&gt;99.5,"FULL "&amp;ROUND(calc!I35,1),"")</f>
        <v/>
      </c>
    </row>
    <row r="37" spans="1:6">
      <c r="A37" s="48" t="str">
        <f>caldat!$T$36</f>
        <v>2020  04-30    17:36:02,2</v>
      </c>
      <c r="C37" s="81">
        <f t="shared" ca="1" si="1"/>
        <v>35</v>
      </c>
      <c r="D37" s="66">
        <f>'elev  az  illum'!$G$36</f>
        <v>60.606691899763874</v>
      </c>
      <c r="E37" s="87">
        <f>'elev  az  illum'!$H$36</f>
        <v>181.09938216893056</v>
      </c>
      <c r="F37" s="83" t="str">
        <f>IF(calc!I36&gt;99.5,"FULL "&amp;ROUND(calc!I36,1),"")</f>
        <v/>
      </c>
    </row>
    <row r="38" spans="1:6">
      <c r="A38" s="48" t="str">
        <f>caldat!$T$37</f>
        <v>2020  05-01    18:26:30,5</v>
      </c>
      <c r="C38" s="81">
        <f t="shared" ca="1" si="1"/>
        <v>36</v>
      </c>
      <c r="D38" s="66">
        <f>'elev  az  illum'!$G$37</f>
        <v>57.061565214540508</v>
      </c>
      <c r="E38" s="87">
        <f>'elev  az  illum'!$H$37</f>
        <v>179.20206159679714</v>
      </c>
      <c r="F38" s="83" t="str">
        <f>IF(calc!I37&gt;99.5,"FULL "&amp;ROUND(calc!I37,1),"")</f>
        <v/>
      </c>
    </row>
    <row r="39" spans="1:6">
      <c r="A39" s="48" t="str">
        <f>caldat!$T$38</f>
        <v>2020  05-02    19:16:58,8</v>
      </c>
      <c r="C39" s="81">
        <f t="shared" ca="1" si="1"/>
        <v>37</v>
      </c>
      <c r="D39" s="66">
        <f>'elev  az  illum'!$G$38</f>
        <v>52.320701666852322</v>
      </c>
      <c r="E39" s="87">
        <f>'elev  az  illum'!$H$38</f>
        <v>178.02969120381891</v>
      </c>
      <c r="F39" s="83" t="str">
        <f>IF(calc!I38&gt;99.5,"FULL "&amp;ROUND(calc!I38,1),"")</f>
        <v/>
      </c>
    </row>
    <row r="40" spans="1:6">
      <c r="A40" s="48" t="str">
        <f>caldat!$T$39</f>
        <v>2020  05-03    20:07:27,1</v>
      </c>
      <c r="C40" s="81">
        <f t="shared" ca="1" si="1"/>
        <v>38</v>
      </c>
      <c r="D40" s="66">
        <f>'elev  az  illum'!$G$39</f>
        <v>46.672334949727954</v>
      </c>
      <c r="E40" s="87">
        <f>'elev  az  illum'!$H$39</f>
        <v>177.41292190685323</v>
      </c>
      <c r="F40" s="83" t="str">
        <f>IF(calc!I39&gt;99.5,"FULL "&amp;ROUND(calc!I39,1),"")</f>
        <v/>
      </c>
    </row>
    <row r="41" spans="1:6">
      <c r="A41" s="48" t="str">
        <f>caldat!$T$40</f>
        <v>2020  05-04    20:57:55,4</v>
      </c>
      <c r="C41" s="81">
        <f t="shared" ca="1" si="1"/>
        <v>39</v>
      </c>
      <c r="D41" s="66">
        <f>'elev  az  illum'!$G$40</f>
        <v>40.470803030287179</v>
      </c>
      <c r="E41" s="87">
        <f>'elev  az  illum'!$H$40</f>
        <v>177.03793716888418</v>
      </c>
      <c r="F41" s="83" t="str">
        <f>IF(calc!I40&gt;99.5,"FULL "&amp;ROUND(calc!I40,1),"")</f>
        <v/>
      </c>
    </row>
    <row r="42" spans="1:6">
      <c r="A42" s="48" t="str">
        <f>caldat!$T$41</f>
        <v>2020  05-05    21:48:23,7</v>
      </c>
      <c r="C42" s="81">
        <f t="shared" ca="1" si="1"/>
        <v>40</v>
      </c>
      <c r="D42" s="66">
        <f>'elev  az  illum'!$G$41</f>
        <v>34.122924022807801</v>
      </c>
      <c r="E42" s="87">
        <f>'elev  az  illum'!$H$41</f>
        <v>176.5991479900477</v>
      </c>
      <c r="F42" s="83" t="str">
        <f>IF(calc!I41&gt;99.5,"FULL "&amp;ROUND(calc!I41,1),"")</f>
        <v/>
      </c>
    </row>
    <row r="43" spans="1:6">
      <c r="A43" s="48" t="str">
        <f>caldat!$T$42</f>
        <v>2020  05-06    22:38:52</v>
      </c>
      <c r="C43" s="81">
        <f t="shared" ca="1" si="1"/>
        <v>41</v>
      </c>
      <c r="D43" s="66">
        <f>'elev  az  illum'!$G$42</f>
        <v>28.069365045326506</v>
      </c>
      <c r="E43" s="87">
        <f>'elev  az  illum'!$H$42</f>
        <v>175.87421447966142</v>
      </c>
      <c r="F43" s="83" t="str">
        <f>IF(calc!I42&gt;99.5,"FULL "&amp;ROUND(calc!I42,1),"")</f>
        <v>FULL 99,5</v>
      </c>
    </row>
    <row r="44" spans="1:6">
      <c r="A44" s="48" t="str">
        <f>caldat!$T$43</f>
        <v>2020  05-07    23:29:20,3</v>
      </c>
      <c r="C44" s="81">
        <f t="shared" ca="1" si="1"/>
        <v>42</v>
      </c>
      <c r="D44" s="66">
        <f>'elev  az  illum'!$G$43</f>
        <v>22.750754662613112</v>
      </c>
      <c r="E44" s="87">
        <f>'elev  az  illum'!$H$43</f>
        <v>174.75729734557791</v>
      </c>
      <c r="F44" s="83" t="str">
        <f>IF(calc!I43&gt;99.5,"FULL "&amp;ROUND(calc!I43,1),"")</f>
        <v>FULL 99,5</v>
      </c>
    </row>
    <row r="45" spans="1:6">
      <c r="A45" s="48" t="str">
        <f>caldat!$T$44</f>
        <v>2020  05-09    00:19:48,6</v>
      </c>
      <c r="C45" s="81">
        <f t="shared" ca="1" si="1"/>
        <v>43</v>
      </c>
      <c r="D45" s="66">
        <f>'elev  az  illum'!$G$44</f>
        <v>18.558046148727335</v>
      </c>
      <c r="E45" s="87">
        <f>'elev  az  illum'!$H$44</f>
        <v>173.27229169718186</v>
      </c>
      <c r="F45" s="83" t="str">
        <f>IF(calc!I44&gt;99.5,"FULL "&amp;ROUND(calc!I44,1),"")</f>
        <v/>
      </c>
    </row>
    <row r="46" spans="1:6">
      <c r="A46" s="48" t="str">
        <f>caldat!$T$45</f>
        <v>2020  05-10    01:10:16,9</v>
      </c>
      <c r="C46" s="81">
        <f t="shared" ca="1" si="1"/>
        <v>44</v>
      </c>
      <c r="D46" s="66">
        <f>'elev  az  illum'!$G$45</f>
        <v>15.777547129743626</v>
      </c>
      <c r="E46" s="87">
        <f>'elev  az  illum'!$H$45</f>
        <v>171.56565644568497</v>
      </c>
      <c r="F46" s="83" t="str">
        <f>IF(calc!I45&gt;99.5,"FULL "&amp;ROUND(calc!I45,1),"")</f>
        <v/>
      </c>
    </row>
    <row r="47" spans="1:6">
      <c r="A47" s="48" t="str">
        <f>caldat!$T$46</f>
        <v>2020  05-11    02:00:45,2</v>
      </c>
      <c r="C47" s="81">
        <f t="shared" ca="1" si="1"/>
        <v>45</v>
      </c>
      <c r="D47" s="66">
        <f>'elev  az  illum'!$G$46</f>
        <v>14.550392223728259</v>
      </c>
      <c r="E47" s="87">
        <f>'elev  az  illum'!$H$46</f>
        <v>169.8711322614684</v>
      </c>
      <c r="F47" s="83" t="str">
        <f>IF(calc!I46&gt;99.5,"FULL "&amp;ROUND(calc!I46,1),"")</f>
        <v/>
      </c>
    </row>
    <row r="48" spans="1:6">
      <c r="A48" s="48" t="str">
        <f>caldat!$T$47</f>
        <v>2020  05-12    02:51:13,5</v>
      </c>
      <c r="C48" s="81">
        <f t="shared" ca="1" si="1"/>
        <v>46</v>
      </c>
      <c r="D48" s="66">
        <f>'elev  az  illum'!$G$47</f>
        <v>14.865366587556236</v>
      </c>
      <c r="E48" s="87">
        <f>'elev  az  illum'!$H$47</f>
        <v>168.45016288879566</v>
      </c>
      <c r="F48" s="83" t="str">
        <f>IF(calc!I47&gt;99.5,"FULL "&amp;ROUND(calc!I47,1),"")</f>
        <v/>
      </c>
    </row>
    <row r="49" spans="1:6">
      <c r="A49" s="48" t="str">
        <f>caldat!$T$48</f>
        <v>2020  05-13    03:41:41,8</v>
      </c>
      <c r="C49" s="81">
        <f t="shared" ca="1" si="1"/>
        <v>47</v>
      </c>
      <c r="D49" s="66">
        <f>'elev  az  illum'!$G$48</f>
        <v>16.586340348479254</v>
      </c>
      <c r="E49" s="87">
        <f>'elev  az  illum'!$H$48</f>
        <v>167.5298244642633</v>
      </c>
      <c r="F49" s="83" t="str">
        <f>IF(calc!I48&gt;99.5,"FULL "&amp;ROUND(calc!I48,1),"")</f>
        <v/>
      </c>
    </row>
    <row r="50" spans="1:6">
      <c r="A50" s="48" t="str">
        <f>caldat!$T$49</f>
        <v>2020  05-14    04:32:10,1</v>
      </c>
      <c r="C50" s="81">
        <f t="shared" ca="1" si="1"/>
        <v>48</v>
      </c>
      <c r="D50" s="66">
        <f>'elev  az  illum'!$G$49</f>
        <v>19.496844294744967</v>
      </c>
      <c r="E50" s="87">
        <f>'elev  az  illum'!$H$49</f>
        <v>167.26322296724885</v>
      </c>
      <c r="F50" s="83" t="str">
        <f>IF(calc!I49&gt;99.5,"FULL "&amp;ROUND(calc!I49,1),"")</f>
        <v/>
      </c>
    </row>
    <row r="51" spans="1:6">
      <c r="A51" s="71" t="str">
        <f>caldat!$T$50</f>
        <v>2020  05-15    05:22:38,4</v>
      </c>
      <c r="B51" s="85"/>
      <c r="C51" s="81">
        <f t="shared" ca="1" si="1"/>
        <v>49</v>
      </c>
      <c r="D51" s="66">
        <f>'elev  az  illum'!$G$50</f>
        <v>23.343573419949667</v>
      </c>
      <c r="E51" s="87">
        <f>'elev  az  illum'!$H$50</f>
        <v>167.72073047136411</v>
      </c>
      <c r="F51" s="83" t="str">
        <f>IF(calc!I50&gt;99.5,"FULL "&amp;ROUND(calc!I50,1),"")</f>
        <v/>
      </c>
    </row>
    <row r="52" spans="1:6">
      <c r="A52" t="str">
        <f>caldat!$T$52</f>
        <v>2020  05-17    07:03:35</v>
      </c>
      <c r="C52" s="81">
        <f t="shared" ca="1" si="1"/>
        <v>50</v>
      </c>
      <c r="D52" s="66">
        <f>'elev  az  illum'!$G$51</f>
        <v>27.868322023791062</v>
      </c>
      <c r="E52" s="87">
        <f>'elev  az  illum'!$H$51</f>
        <v>168.90155908438942</v>
      </c>
    </row>
    <row r="53" spans="1:6">
      <c r="A53" t="str">
        <f>caldat!$T$53</f>
        <v>2020  05-18    07:54:03,3</v>
      </c>
      <c r="C53" s="81">
        <f t="shared" ca="1" si="1"/>
        <v>51</v>
      </c>
      <c r="D53" s="66">
        <f>'elev  az  illum'!$G$52</f>
        <v>32.825456503651566</v>
      </c>
      <c r="E53" s="87">
        <f>'elev  az  illum'!$H$52</f>
        <v>170.74913691196662</v>
      </c>
    </row>
    <row r="54" spans="1:6">
      <c r="A54" t="str">
        <f>caldat!$T$54</f>
        <v>2020  05-19    08:44:31,6</v>
      </c>
      <c r="C54" s="81">
        <f t="shared" ca="1" si="1"/>
        <v>52</v>
      </c>
      <c r="D54" s="66">
        <f>'elev  az  illum'!$G$53</f>
        <v>37.988360312405078</v>
      </c>
      <c r="E54" s="87">
        <f>'elev  az  illum'!$H$53</f>
        <v>173.15873876717961</v>
      </c>
    </row>
    <row r="55" spans="1:6">
      <c r="A55" t="str">
        <f>caldat!$T$55</f>
        <v>2020  05-20    09:34:59,9</v>
      </c>
      <c r="C55" s="81">
        <f t="shared" ca="1" si="1"/>
        <v>53</v>
      </c>
      <c r="D55" s="66">
        <f>'elev  az  illum'!$G$54</f>
        <v>43.149872144670731</v>
      </c>
      <c r="E55" s="87">
        <f>'elev  az  illum'!$H$54</f>
        <v>175.97315858719736</v>
      </c>
    </row>
    <row r="56" spans="1:6">
      <c r="A56" t="str">
        <f>caldat!$T$56</f>
        <v>2020  05-21    10:25:28,2</v>
      </c>
      <c r="C56" s="81">
        <f t="shared" ca="1" si="1"/>
        <v>54</v>
      </c>
      <c r="D56" s="66">
        <f>'elev  az  illum'!$G$55</f>
        <v>48.119537916425109</v>
      </c>
      <c r="E56" s="87">
        <f>'elev  az  illum'!$H$55</f>
        <v>178.96769293748463</v>
      </c>
    </row>
    <row r="57" spans="1:6">
      <c r="A57" t="str">
        <f>caldat!$T$57</f>
        <v>2020  05-22    11:15:56,5</v>
      </c>
      <c r="C57" s="81">
        <f t="shared" ca="1" si="1"/>
        <v>55</v>
      </c>
      <c r="D57" s="66">
        <f>'elev  az  illum'!$G$56</f>
        <v>52.717747208566294</v>
      </c>
      <c r="E57" s="87">
        <f>'elev  az  illum'!$H$56</f>
        <v>181.8308931617803</v>
      </c>
    </row>
    <row r="58" spans="1:6">
      <c r="A58" t="str">
        <f>caldat!$T$58</f>
        <v>2020  05-23    12:06:24,8</v>
      </c>
      <c r="C58" s="81">
        <f t="shared" ca="1" si="1"/>
        <v>56</v>
      </c>
      <c r="D58" s="66">
        <f>'elev  az  illum'!$G$57</f>
        <v>56.765421384369681</v>
      </c>
      <c r="E58" s="87">
        <f>'elev  az  illum'!$H$57</f>
        <v>184.15711687629641</v>
      </c>
    </row>
    <row r="59" spans="1:6">
      <c r="A59" t="str">
        <f>caldat!$T$59</f>
        <v>2020  05-24    12:56:53,1</v>
      </c>
      <c r="C59" s="81">
        <f t="shared" ca="1" si="1"/>
        <v>57</v>
      </c>
      <c r="D59" s="66">
        <f>'elev  az  illum'!$G$58</f>
        <v>60.069292410380605</v>
      </c>
      <c r="E59" s="87">
        <f>'elev  az  illum'!$H$58</f>
        <v>185.4854740659718</v>
      </c>
    </row>
    <row r="60" spans="1:6">
      <c r="A60" t="str">
        <f>caldat!$T$60</f>
        <v>2020  05-25    13:47:21,4</v>
      </c>
      <c r="C60" s="81">
        <f t="shared" ca="1" si="1"/>
        <v>58</v>
      </c>
      <c r="D60" s="66">
        <f>'elev  az  illum'!$G$59</f>
        <v>62.40966768866074</v>
      </c>
      <c r="E60" s="87">
        <f>'elev  az  illum'!$H$59</f>
        <v>185.43921523002354</v>
      </c>
    </row>
    <row r="61" spans="1:6">
      <c r="A61" t="str">
        <f>caldat!$T$61</f>
        <v>2020  05-26    14:37:49,7</v>
      </c>
      <c r="C61" s="81">
        <f t="shared" ca="1" si="1"/>
        <v>59</v>
      </c>
      <c r="D61" s="66">
        <f>'elev  az  illum'!$G$60</f>
        <v>63.550682170529498</v>
      </c>
      <c r="E61" s="87">
        <f>'elev  az  illum'!$H$60</f>
        <v>183.98309978040646</v>
      </c>
    </row>
    <row r="62" spans="1:6">
      <c r="A62" s="48" t="str">
        <f>caldat!$T$62</f>
        <v>2020  05-27    15:28:18</v>
      </c>
      <c r="C62" s="81">
        <f t="shared" ca="1" si="1"/>
        <v>60</v>
      </c>
      <c r="D62" s="66">
        <f>'elev  az  illum'!$G$61</f>
        <v>63.295770458222989</v>
      </c>
      <c r="E62" s="87">
        <f>'elev  az  illum'!$H$61</f>
        <v>181.63095486161774</v>
      </c>
    </row>
    <row r="63" spans="1:6">
      <c r="A63" s="86" t="str">
        <f>caldat!$T$63</f>
        <v>2020  05-28    16:18:46,3</v>
      </c>
      <c r="B63" s="84"/>
      <c r="C63" s="81">
        <f t="shared" ca="1" si="1"/>
        <v>61</v>
      </c>
      <c r="D63" s="93">
        <f>'elev  az  illum'!$G$62</f>
        <v>61.569632061619664</v>
      </c>
      <c r="E63" s="94">
        <f>'elev  az  illum'!$H$62</f>
        <v>179.26749335118308</v>
      </c>
    </row>
  </sheetData>
  <mergeCells count="2">
    <mergeCell ref="G2:H2"/>
    <mergeCell ref="I2:J2"/>
  </mergeCells>
  <pageMargins left="0.78749999999999998" right="0.78749999999999998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891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input</vt:lpstr>
      <vt:lpstr>calc</vt:lpstr>
      <vt:lpstr>elev  az  illum</vt:lpstr>
      <vt:lpstr>declin  RA</vt:lpstr>
      <vt:lpstr>caldat</vt:lpstr>
      <vt:lpstr>Analemma1</vt:lpstr>
      <vt:lpstr>Analemma2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Jürgen Giesen</cp:lastModifiedBy>
  <cp:revision>245</cp:revision>
  <dcterms:created xsi:type="dcterms:W3CDTF">2019-04-06T21:52:12Z</dcterms:created>
  <dcterms:modified xsi:type="dcterms:W3CDTF">2022-07-10T17:08:51Z</dcterms:modified>
  <dc:language>de-DE</dc:language>
</cp:coreProperties>
</file>